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Micro\Desktop\Trabalho OT\"/>
    </mc:Choice>
  </mc:AlternateContent>
  <xr:revisionPtr revIDLastSave="0" documentId="8_{C6C69BC5-2145-482F-ADBE-386B683CE800}" xr6:coauthVersionLast="47" xr6:coauthVersionMax="47" xr10:uidLastSave="{00000000-0000-0000-0000-000000000000}"/>
  <bookViews>
    <workbookView xWindow="-120" yWindow="-120" windowWidth="20730" windowHeight="11160" tabRatio="832" xr2:uid="{00000000-000D-0000-FFFF-FFFF00000000}"/>
  </bookViews>
  <sheets>
    <sheet name="Planilha Orçamentária" sheetId="5" r:id="rId1"/>
    <sheet name="Composição de Custos" sheetId="11" r:id="rId2"/>
    <sheet name="Composição de Custos (SINAPI)" sheetId="12" r:id="rId3"/>
    <sheet name="Memorial de Calculo" sheetId="7" r:id="rId4"/>
    <sheet name="Custos Indiretos, PV e BDI" sheetId="8" r:id="rId5"/>
    <sheet name="Cotação de Preços" sheetId="9" r:id="rId6"/>
  </sheets>
  <definedNames>
    <definedName name="_xlnm.Print_Area" localSheetId="0">'Planilha Orçamentária'!$A$1:$H$162</definedName>
    <definedName name="_xlnm.Print_Titles" localSheetId="0">'Planilha Orçamentária'!$1:$4</definedName>
  </definedNames>
  <calcPr calcId="191029"/>
  <fileRecoveryPr autoRecover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8" i="12" l="1"/>
  <c r="E267" i="7" l="1"/>
  <c r="E266" i="7"/>
  <c r="E265" i="7"/>
  <c r="G178" i="7" l="1"/>
  <c r="G179" i="7"/>
  <c r="G180" i="7"/>
  <c r="G181" i="7"/>
  <c r="G177" i="7"/>
  <c r="B260" i="7" l="1"/>
  <c r="H147" i="12" l="1"/>
  <c r="H139" i="12"/>
  <c r="D59" i="5"/>
  <c r="H1050" i="12" l="1"/>
  <c r="H1047" i="12"/>
  <c r="H291" i="12"/>
  <c r="H290" i="12"/>
  <c r="D133" i="5" l="1"/>
  <c r="D134" i="5"/>
  <c r="D158" i="5"/>
  <c r="D69" i="5"/>
  <c r="G310" i="7"/>
  <c r="F310" i="7"/>
  <c r="H310" i="7" s="1"/>
  <c r="G309" i="7"/>
  <c r="F309" i="7"/>
  <c r="G303" i="7"/>
  <c r="F303" i="7"/>
  <c r="F302" i="7"/>
  <c r="H302" i="7" s="1"/>
  <c r="G301" i="7"/>
  <c r="F301" i="7"/>
  <c r="G300" i="7"/>
  <c r="F300" i="7"/>
  <c r="G295" i="7"/>
  <c r="F295" i="7"/>
  <c r="H300" i="7" l="1"/>
  <c r="H309" i="7"/>
  <c r="H311" i="7" s="1"/>
  <c r="D77" i="5" s="1"/>
  <c r="H303" i="7"/>
  <c r="H295" i="7"/>
  <c r="H296" i="7" s="1"/>
  <c r="D74" i="5" s="1"/>
  <c r="H301" i="7"/>
  <c r="F289" i="7"/>
  <c r="F290" i="7"/>
  <c r="F287" i="7"/>
  <c r="F288" i="7"/>
  <c r="H288" i="7" s="1"/>
  <c r="F286" i="7"/>
  <c r="G290" i="7"/>
  <c r="G287" i="7"/>
  <c r="G289" i="7"/>
  <c r="G286" i="7"/>
  <c r="H286" i="7" s="1"/>
  <c r="H304" i="7" l="1"/>
  <c r="D75" i="5" s="1"/>
  <c r="H290" i="7"/>
  <c r="H289" i="7"/>
  <c r="H287" i="7"/>
  <c r="D63" i="5"/>
  <c r="H291" i="7" l="1"/>
  <c r="D72" i="5" s="1"/>
  <c r="H58" i="12"/>
  <c r="H62" i="12"/>
  <c r="H63" i="12"/>
  <c r="H61" i="12"/>
  <c r="H83" i="8" l="1"/>
  <c r="I83" i="8" s="1"/>
  <c r="F78" i="8" s="1"/>
  <c r="G16" i="8"/>
  <c r="H16" i="8" s="1"/>
  <c r="L16" i="8"/>
  <c r="H475" i="12"/>
  <c r="F48" i="8"/>
  <c r="E79" i="8" s="1"/>
  <c r="G54" i="8"/>
  <c r="G55" i="8"/>
  <c r="G56" i="8"/>
  <c r="G57" i="8"/>
  <c r="G58" i="8"/>
  <c r="G59" i="8"/>
  <c r="G60" i="8"/>
  <c r="G61" i="8"/>
  <c r="G62" i="8"/>
  <c r="G63" i="8"/>
  <c r="G64" i="8"/>
  <c r="G65" i="8"/>
  <c r="G66" i="8"/>
  <c r="G67" i="8"/>
  <c r="G68" i="8"/>
  <c r="G69" i="8"/>
  <c r="G70" i="8"/>
  <c r="G71" i="8"/>
  <c r="G53" i="8"/>
  <c r="M16" i="8" l="1"/>
  <c r="G72" i="8"/>
  <c r="E80" i="8" s="1"/>
  <c r="D137" i="5"/>
  <c r="D138" i="5"/>
  <c r="F39" i="8"/>
  <c r="G39" i="8" s="1"/>
  <c r="G35" i="8"/>
  <c r="G36" i="8"/>
  <c r="G37" i="8"/>
  <c r="G38" i="8"/>
  <c r="G40" i="8"/>
  <c r="G34" i="8"/>
  <c r="K29" i="8"/>
  <c r="K25" i="8"/>
  <c r="K22" i="8"/>
  <c r="I29" i="8"/>
  <c r="I28" i="8"/>
  <c r="I27" i="8"/>
  <c r="I26" i="8"/>
  <c r="I25" i="8"/>
  <c r="I24" i="8"/>
  <c r="I23" i="8"/>
  <c r="I22" i="8"/>
  <c r="I21" i="8"/>
  <c r="J28" i="8"/>
  <c r="H21" i="8"/>
  <c r="J29" i="8"/>
  <c r="J27" i="8"/>
  <c r="J26" i="8"/>
  <c r="J25" i="8"/>
  <c r="J24" i="8"/>
  <c r="J23" i="8"/>
  <c r="J22" i="8"/>
  <c r="J21" i="8"/>
  <c r="H29" i="8"/>
  <c r="H27" i="8"/>
  <c r="H25" i="8"/>
  <c r="H24" i="8"/>
  <c r="H23" i="8"/>
  <c r="H22" i="8"/>
  <c r="G27" i="8"/>
  <c r="G26" i="8"/>
  <c r="G25" i="8"/>
  <c r="F29" i="8"/>
  <c r="F22" i="8"/>
  <c r="F25" i="8"/>
  <c r="E29" i="8"/>
  <c r="E25" i="8"/>
  <c r="E22" i="8"/>
  <c r="L9" i="8"/>
  <c r="L10" i="8"/>
  <c r="L11" i="8"/>
  <c r="L12" i="8"/>
  <c r="L13" i="8"/>
  <c r="L14" i="8"/>
  <c r="L15" i="8"/>
  <c r="L8" i="8"/>
  <c r="F14" i="8"/>
  <c r="G14" i="8" s="1"/>
  <c r="H14" i="8" s="1"/>
  <c r="F11" i="8"/>
  <c r="G11" i="8" s="1"/>
  <c r="H11" i="8" s="1"/>
  <c r="F10" i="8"/>
  <c r="G10" i="8" s="1"/>
  <c r="H10" i="8" s="1"/>
  <c r="G15" i="8"/>
  <c r="H15" i="8" s="1"/>
  <c r="G9" i="8"/>
  <c r="H9" i="8" s="1"/>
  <c r="M9" i="8" s="1"/>
  <c r="G12" i="8"/>
  <c r="H12" i="8" s="1"/>
  <c r="G13" i="8"/>
  <c r="H13" i="8" s="1"/>
  <c r="F8" i="8"/>
  <c r="G8" i="8" s="1"/>
  <c r="H8" i="8" s="1"/>
  <c r="M8" i="8" s="1"/>
  <c r="D135" i="5"/>
  <c r="G91" i="7"/>
  <c r="G90" i="7"/>
  <c r="M14" i="8" l="1"/>
  <c r="M10" i="8"/>
  <c r="H30" i="8"/>
  <c r="I30" i="8"/>
  <c r="K30" i="8"/>
  <c r="M12" i="8"/>
  <c r="F30" i="8"/>
  <c r="E30" i="8"/>
  <c r="G41" i="8"/>
  <c r="E77" i="8" s="1"/>
  <c r="G30" i="8"/>
  <c r="J30" i="8"/>
  <c r="M15" i="8"/>
  <c r="M11" i="8"/>
  <c r="M13" i="8"/>
  <c r="F211" i="7"/>
  <c r="F208" i="7"/>
  <c r="F207" i="7"/>
  <c r="F206" i="7"/>
  <c r="F194" i="7"/>
  <c r="F210" i="7"/>
  <c r="F209" i="7"/>
  <c r="E211" i="7"/>
  <c r="H210" i="7"/>
  <c r="E210" i="7"/>
  <c r="G210" i="7" s="1"/>
  <c r="E209" i="7"/>
  <c r="H208" i="7"/>
  <c r="E208" i="7"/>
  <c r="H207" i="7"/>
  <c r="E207" i="7"/>
  <c r="H206" i="7"/>
  <c r="E206" i="7"/>
  <c r="G206" i="7" s="1"/>
  <c r="K127" i="7"/>
  <c r="C233" i="7" s="1"/>
  <c r="C234" i="7" s="1"/>
  <c r="H170" i="7"/>
  <c r="H169" i="7"/>
  <c r="H166" i="7"/>
  <c r="H167" i="7"/>
  <c r="H168" i="7"/>
  <c r="H165" i="7"/>
  <c r="H164" i="7"/>
  <c r="H163" i="7"/>
  <c r="H162" i="7"/>
  <c r="H161" i="7"/>
  <c r="G160" i="7"/>
  <c r="G159" i="7"/>
  <c r="H159" i="7"/>
  <c r="H160" i="7"/>
  <c r="F163" i="7"/>
  <c r="F164" i="7"/>
  <c r="F165" i="7"/>
  <c r="F166" i="7"/>
  <c r="F167" i="7"/>
  <c r="F168" i="7"/>
  <c r="F169" i="7"/>
  <c r="F170" i="7"/>
  <c r="F148" i="7"/>
  <c r="I148" i="7" s="1"/>
  <c r="F149" i="7"/>
  <c r="I149" i="7" s="1"/>
  <c r="F150" i="7"/>
  <c r="I150" i="7" s="1"/>
  <c r="F151" i="7"/>
  <c r="I151" i="7" s="1"/>
  <c r="F152" i="7"/>
  <c r="I152" i="7" s="1"/>
  <c r="F153" i="7"/>
  <c r="I153" i="7" s="1"/>
  <c r="F154" i="7"/>
  <c r="I154" i="7" s="1"/>
  <c r="F155" i="7"/>
  <c r="I155" i="7" s="1"/>
  <c r="F156" i="7"/>
  <c r="I156" i="7" s="1"/>
  <c r="F157" i="7"/>
  <c r="I157" i="7" s="1"/>
  <c r="F158" i="7"/>
  <c r="I158" i="7" s="1"/>
  <c r="F159" i="7"/>
  <c r="F160" i="7"/>
  <c r="F161" i="7"/>
  <c r="F162" i="7"/>
  <c r="F171" i="7"/>
  <c r="I171" i="7" s="1"/>
  <c r="F172" i="7"/>
  <c r="I172" i="7" s="1"/>
  <c r="F147" i="7"/>
  <c r="F146" i="7"/>
  <c r="F145" i="7"/>
  <c r="F144" i="7"/>
  <c r="F143" i="7"/>
  <c r="F126" i="7"/>
  <c r="F125" i="7"/>
  <c r="F124" i="7"/>
  <c r="F123" i="7"/>
  <c r="H124" i="7"/>
  <c r="E124" i="7"/>
  <c r="E123" i="7"/>
  <c r="H122" i="7"/>
  <c r="F122" i="7"/>
  <c r="F121" i="7"/>
  <c r="E121" i="7"/>
  <c r="E122" i="7"/>
  <c r="H119" i="7"/>
  <c r="H120" i="7"/>
  <c r="F120" i="7"/>
  <c r="F119" i="7"/>
  <c r="F118" i="7"/>
  <c r="H118" i="7"/>
  <c r="H117" i="7"/>
  <c r="F117" i="7"/>
  <c r="C118" i="7"/>
  <c r="E118" i="7" s="1"/>
  <c r="E117" i="7"/>
  <c r="E119" i="7"/>
  <c r="E120" i="7"/>
  <c r="E125" i="7"/>
  <c r="E126" i="7"/>
  <c r="F116" i="7"/>
  <c r="C116" i="7"/>
  <c r="E116" i="7" s="1"/>
  <c r="H116" i="7"/>
  <c r="H115" i="7"/>
  <c r="F115" i="7"/>
  <c r="E115" i="7"/>
  <c r="F109" i="7"/>
  <c r="F110" i="7"/>
  <c r="C108" i="7"/>
  <c r="F108" i="7" s="1"/>
  <c r="C107" i="7"/>
  <c r="E107" i="7"/>
  <c r="C46" i="7"/>
  <c r="C45" i="7"/>
  <c r="C44" i="7"/>
  <c r="B46" i="7"/>
  <c r="B45" i="7"/>
  <c r="B44" i="7"/>
  <c r="D32" i="7"/>
  <c r="G32" i="7" s="1"/>
  <c r="I206" i="7" l="1"/>
  <c r="I169" i="7"/>
  <c r="I165" i="7"/>
  <c r="I159" i="7"/>
  <c r="M17" i="8"/>
  <c r="E76" i="8" s="1"/>
  <c r="E81" i="8" s="1"/>
  <c r="I168" i="7"/>
  <c r="I164" i="7"/>
  <c r="I167" i="7"/>
  <c r="I210" i="7"/>
  <c r="I162" i="7"/>
  <c r="I170" i="7"/>
  <c r="G124" i="7"/>
  <c r="I124" i="7" s="1"/>
  <c r="G211" i="7"/>
  <c r="I211" i="7" s="1"/>
  <c r="G123" i="7"/>
  <c r="I123" i="7" s="1"/>
  <c r="I163" i="7"/>
  <c r="I166" i="7"/>
  <c r="G208" i="7"/>
  <c r="I208" i="7" s="1"/>
  <c r="G207" i="7"/>
  <c r="I207" i="7" s="1"/>
  <c r="G209" i="7"/>
  <c r="I209" i="7" s="1"/>
  <c r="I161" i="7"/>
  <c r="I160" i="7"/>
  <c r="I143" i="7"/>
  <c r="I147" i="7"/>
  <c r="I144" i="7"/>
  <c r="I146" i="7"/>
  <c r="G115" i="7"/>
  <c r="I115" i="7" s="1"/>
  <c r="G116" i="7"/>
  <c r="I116" i="7" s="1"/>
  <c r="G122" i="7"/>
  <c r="I122" i="7" s="1"/>
  <c r="I145" i="7"/>
  <c r="G126" i="7"/>
  <c r="I126" i="7" s="1"/>
  <c r="G117" i="7"/>
  <c r="I117" i="7" s="1"/>
  <c r="G125" i="7"/>
  <c r="I125" i="7" s="1"/>
  <c r="G121" i="7"/>
  <c r="I121" i="7" s="1"/>
  <c r="G120" i="7"/>
  <c r="I120" i="7" s="1"/>
  <c r="G119" i="7"/>
  <c r="I119" i="7" s="1"/>
  <c r="G118" i="7"/>
  <c r="I118" i="7" s="1"/>
  <c r="F107" i="7"/>
  <c r="F111" i="7" s="1"/>
  <c r="D31" i="5" s="1"/>
  <c r="B47" i="7"/>
  <c r="C38" i="7" s="1"/>
  <c r="B56" i="7" s="1"/>
  <c r="C47" i="7"/>
  <c r="C37" i="7" s="1"/>
  <c r="F37" i="7" s="1"/>
  <c r="D20" i="5"/>
  <c r="D19" i="5"/>
  <c r="I212" i="7" l="1"/>
  <c r="I173" i="7"/>
  <c r="D29" i="5" s="1"/>
  <c r="I127" i="7"/>
  <c r="D30" i="5" s="1"/>
  <c r="F38" i="7"/>
  <c r="F1132" i="12"/>
  <c r="G1132" i="12" s="1"/>
  <c r="F1133" i="12"/>
  <c r="G1133" i="12" s="1"/>
  <c r="G1135" i="12"/>
  <c r="G1136" i="12"/>
  <c r="G1137" i="12"/>
  <c r="G1138" i="12"/>
  <c r="G1139" i="12"/>
  <c r="G1140" i="12"/>
  <c r="G1134" i="12"/>
  <c r="G1141" i="12" l="1"/>
  <c r="E116" i="5" s="1"/>
  <c r="B52" i="7"/>
  <c r="F39" i="7"/>
  <c r="D23" i="5" s="1"/>
  <c r="B256" i="7"/>
  <c r="C278" i="7" l="1"/>
  <c r="C281" i="7" s="1"/>
  <c r="D82" i="5" s="1"/>
  <c r="H6" i="12" l="1"/>
  <c r="H5" i="12"/>
  <c r="H7" i="12" l="1"/>
  <c r="H1092" i="12"/>
  <c r="H1125" i="12"/>
  <c r="H1124" i="12"/>
  <c r="H1122" i="12"/>
  <c r="H1123" i="12" s="1"/>
  <c r="H1071" i="12"/>
  <c r="H1068" i="12"/>
  <c r="H974" i="12"/>
  <c r="H980" i="12"/>
  <c r="H979" i="12"/>
  <c r="H978" i="12"/>
  <c r="H977" i="12"/>
  <c r="H948" i="12"/>
  <c r="H919" i="12"/>
  <c r="H918" i="12"/>
  <c r="H917" i="12"/>
  <c r="H916" i="12"/>
  <c r="H798" i="12"/>
  <c r="H799" i="12"/>
  <c r="H676" i="12"/>
  <c r="H663" i="12"/>
  <c r="H666" i="12"/>
  <c r="H664" i="12"/>
  <c r="H568" i="12"/>
  <c r="H567" i="12"/>
  <c r="H566" i="12"/>
  <c r="H564" i="12"/>
  <c r="H563" i="12"/>
  <c r="H556" i="12"/>
  <c r="H555" i="12"/>
  <c r="H554" i="12"/>
  <c r="H552" i="12"/>
  <c r="H551" i="12"/>
  <c r="H388" i="12"/>
  <c r="H351" i="12"/>
  <c r="H352" i="12"/>
  <c r="H312" i="12"/>
  <c r="H304" i="12"/>
  <c r="H303" i="12"/>
  <c r="H311" i="12"/>
  <c r="H310" i="12"/>
  <c r="H309" i="12"/>
  <c r="H308" i="12"/>
  <c r="H307" i="12"/>
  <c r="H306" i="12"/>
  <c r="H292" i="12"/>
  <c r="H293" i="12"/>
  <c r="H294" i="12"/>
  <c r="H295" i="12"/>
  <c r="H274" i="12"/>
  <c r="H267" i="12"/>
  <c r="H797" i="12" l="1"/>
  <c r="H553" i="12"/>
  <c r="H550" i="12" s="1"/>
  <c r="E93" i="5" s="1"/>
  <c r="H565" i="12"/>
  <c r="H562" i="12" s="1"/>
  <c r="E94" i="5" s="1"/>
  <c r="H507" i="12"/>
  <c r="H508" i="12"/>
  <c r="H509" i="12"/>
  <c r="H510" i="12"/>
  <c r="H511" i="12"/>
  <c r="H505" i="12"/>
  <c r="H504" i="12"/>
  <c r="H319" i="12"/>
  <c r="H430" i="12"/>
  <c r="H409" i="12"/>
  <c r="H408" i="12"/>
  <c r="H506" i="12" l="1"/>
  <c r="H503" i="12" s="1"/>
  <c r="E84" i="5" s="1"/>
  <c r="H410" i="12"/>
  <c r="H36" i="12"/>
  <c r="H90" i="12" l="1"/>
  <c r="H93" i="12"/>
  <c r="H94" i="12"/>
  <c r="H95" i="12"/>
  <c r="H51" i="12"/>
  <c r="H50" i="12"/>
  <c r="H1114" i="12" l="1"/>
  <c r="H1112" i="12"/>
  <c r="H1111" i="12"/>
  <c r="H1104" i="12"/>
  <c r="H1103" i="12"/>
  <c r="H1096" i="12"/>
  <c r="H1095" i="12"/>
  <c r="H1094" i="12"/>
  <c r="H1093" i="12"/>
  <c r="H1085" i="12"/>
  <c r="H1084" i="12"/>
  <c r="H1083" i="12"/>
  <c r="H1082" i="12"/>
  <c r="H1075" i="12"/>
  <c r="H1074" i="12"/>
  <c r="H1073" i="12"/>
  <c r="H1072" i="12"/>
  <c r="H1069" i="12"/>
  <c r="H1067" i="12"/>
  <c r="H1060" i="12"/>
  <c r="H1058" i="12"/>
  <c r="H1059" i="12" s="1"/>
  <c r="H1051" i="12"/>
  <c r="H1048" i="12"/>
  <c r="H1049" i="12" s="1"/>
  <c r="H1046" i="12" s="1"/>
  <c r="H1040" i="12"/>
  <c r="H1038" i="12"/>
  <c r="H1037" i="12"/>
  <c r="H1030" i="12"/>
  <c r="H1029" i="12"/>
  <c r="H1028" i="12"/>
  <c r="H1026" i="12"/>
  <c r="H1025" i="12"/>
  <c r="H1018" i="12"/>
  <c r="H1017" i="12"/>
  <c r="H1016" i="12"/>
  <c r="H1015" i="12"/>
  <c r="H1013" i="12"/>
  <c r="H1012" i="12"/>
  <c r="H1005" i="12"/>
  <c r="H1004" i="12"/>
  <c r="H1003" i="12"/>
  <c r="H1002" i="12"/>
  <c r="H1000" i="12"/>
  <c r="H999" i="12"/>
  <c r="H992" i="12"/>
  <c r="H991" i="12"/>
  <c r="H989" i="12"/>
  <c r="H988" i="12"/>
  <c r="H981" i="12"/>
  <c r="H975" i="12"/>
  <c r="H973" i="12"/>
  <c r="H966" i="12"/>
  <c r="H965" i="12"/>
  <c r="H964" i="12"/>
  <c r="H963" i="12"/>
  <c r="H962" i="12"/>
  <c r="H960" i="12"/>
  <c r="H959" i="12"/>
  <c r="H958" i="12"/>
  <c r="H951" i="12"/>
  <c r="H950" i="12"/>
  <c r="H949" i="12"/>
  <c r="H947" i="12"/>
  <c r="H945" i="12"/>
  <c r="H944" i="12"/>
  <c r="H937" i="12"/>
  <c r="H936" i="12"/>
  <c r="H935" i="12"/>
  <c r="H934" i="12"/>
  <c r="H933" i="12"/>
  <c r="H932" i="12"/>
  <c r="H931" i="12"/>
  <c r="H930" i="12"/>
  <c r="H928" i="12"/>
  <c r="H927" i="12"/>
  <c r="H920" i="12"/>
  <c r="H915" i="12"/>
  <c r="H914" i="12"/>
  <c r="H912" i="12"/>
  <c r="H911" i="12"/>
  <c r="H904" i="12"/>
  <c r="H903" i="12"/>
  <c r="H902" i="12"/>
  <c r="H901" i="12"/>
  <c r="H900" i="12"/>
  <c r="H899" i="12"/>
  <c r="H898" i="12"/>
  <c r="H896" i="12"/>
  <c r="H895" i="12"/>
  <c r="H888" i="12"/>
  <c r="H887" i="12"/>
  <c r="H886" i="12"/>
  <c r="H885" i="12"/>
  <c r="H884" i="12"/>
  <c r="H883" i="12"/>
  <c r="H882" i="12"/>
  <c r="H881" i="12"/>
  <c r="H880" i="12"/>
  <c r="H879" i="12"/>
  <c r="H878" i="12"/>
  <c r="H876" i="12"/>
  <c r="H875" i="12"/>
  <c r="H868" i="12"/>
  <c r="H867" i="12"/>
  <c r="H865" i="12"/>
  <c r="H864" i="12"/>
  <c r="H857" i="12"/>
  <c r="H856" i="12"/>
  <c r="H854" i="12"/>
  <c r="H853" i="12"/>
  <c r="H852" i="12"/>
  <c r="H845" i="12"/>
  <c r="H844" i="12"/>
  <c r="H843" i="12"/>
  <c r="H842" i="12"/>
  <c r="H841" i="12"/>
  <c r="H840" i="12"/>
  <c r="H838" i="12"/>
  <c r="H837" i="12"/>
  <c r="H830" i="12"/>
  <c r="H829" i="12"/>
  <c r="H828" i="12"/>
  <c r="H827" i="12"/>
  <c r="H826" i="12"/>
  <c r="H825" i="12"/>
  <c r="H824" i="12"/>
  <c r="H822" i="12"/>
  <c r="H821" i="12"/>
  <c r="H814" i="12"/>
  <c r="H813" i="12"/>
  <c r="H812" i="12"/>
  <c r="H811" i="12"/>
  <c r="H810" i="12"/>
  <c r="H809" i="12"/>
  <c r="H808" i="12"/>
  <c r="H807" i="12"/>
  <c r="H806" i="12"/>
  <c r="H791" i="12"/>
  <c r="H789" i="12"/>
  <c r="H788" i="12"/>
  <c r="H781" i="12"/>
  <c r="H779" i="12"/>
  <c r="H778" i="12"/>
  <c r="H771" i="12"/>
  <c r="H769" i="12"/>
  <c r="H770" i="12" s="1"/>
  <c r="H762" i="12"/>
  <c r="H760" i="12"/>
  <c r="H759" i="12"/>
  <c r="H752" i="12"/>
  <c r="H751" i="12"/>
  <c r="H750" i="12"/>
  <c r="H749" i="12"/>
  <c r="H748" i="12"/>
  <c r="H747" i="12"/>
  <c r="H746" i="12"/>
  <c r="H745" i="12"/>
  <c r="H744" i="12"/>
  <c r="H743" i="12"/>
  <c r="H742" i="12"/>
  <c r="H741" i="12"/>
  <c r="H740" i="12"/>
  <c r="H739" i="12"/>
  <c r="H737" i="12"/>
  <c r="H736" i="12"/>
  <c r="H735" i="12"/>
  <c r="H728" i="12"/>
  <c r="H726" i="12"/>
  <c r="H727" i="12" s="1"/>
  <c r="H719" i="12"/>
  <c r="H718" i="12"/>
  <c r="H717" i="12"/>
  <c r="H710" i="12"/>
  <c r="H709" i="12"/>
  <c r="H707" i="12"/>
  <c r="H706" i="12"/>
  <c r="H699" i="12"/>
  <c r="H698" i="12"/>
  <c r="H696" i="12"/>
  <c r="H695" i="12"/>
  <c r="H688" i="12"/>
  <c r="H687" i="12"/>
  <c r="H685" i="12"/>
  <c r="H684" i="12"/>
  <c r="H677" i="12"/>
  <c r="H674" i="12"/>
  <c r="H673" i="12"/>
  <c r="H665" i="12"/>
  <c r="H661" i="12"/>
  <c r="H660" i="12"/>
  <c r="H653" i="12"/>
  <c r="H652" i="12"/>
  <c r="H651" i="12"/>
  <c r="H650" i="12"/>
  <c r="H648" i="12"/>
  <c r="H647" i="12"/>
  <c r="H640" i="12"/>
  <c r="H639" i="12"/>
  <c r="H638" i="12"/>
  <c r="H636" i="12"/>
  <c r="H635" i="12"/>
  <c r="H628" i="12"/>
  <c r="H627" i="12"/>
  <c r="H626" i="12"/>
  <c r="H624" i="12"/>
  <c r="H623" i="12"/>
  <c r="H617" i="12"/>
  <c r="H616" i="12"/>
  <c r="H615" i="12"/>
  <c r="H613" i="12"/>
  <c r="H612" i="12"/>
  <c r="H605" i="12"/>
  <c r="H604" i="12"/>
  <c r="H603" i="12"/>
  <c r="H601" i="12"/>
  <c r="H600" i="12"/>
  <c r="H593" i="12"/>
  <c r="H592" i="12"/>
  <c r="H591" i="12"/>
  <c r="H589" i="12"/>
  <c r="H588" i="12"/>
  <c r="H581" i="12"/>
  <c r="H580" i="12"/>
  <c r="H579" i="12"/>
  <c r="H578" i="12"/>
  <c r="H576" i="12"/>
  <c r="H575" i="12"/>
  <c r="H544" i="12"/>
  <c r="H543" i="12"/>
  <c r="H542" i="12"/>
  <c r="H540" i="12"/>
  <c r="H539" i="12"/>
  <c r="H532" i="12"/>
  <c r="H530" i="12"/>
  <c r="H529" i="12"/>
  <c r="H522" i="12"/>
  <c r="G521" i="12"/>
  <c r="H521" i="12" s="1"/>
  <c r="H519" i="12"/>
  <c r="H518" i="12"/>
  <c r="H497" i="12"/>
  <c r="H495" i="12"/>
  <c r="H494" i="12"/>
  <c r="H487" i="12"/>
  <c r="H485" i="12"/>
  <c r="H484" i="12"/>
  <c r="H477" i="12"/>
  <c r="H476" i="12"/>
  <c r="H473" i="12"/>
  <c r="H472" i="12"/>
  <c r="H465" i="12"/>
  <c r="H463" i="12"/>
  <c r="H462" i="12"/>
  <c r="H455" i="12"/>
  <c r="H453" i="12"/>
  <c r="H452" i="12"/>
  <c r="H445" i="12"/>
  <c r="H444" i="12"/>
  <c r="H442" i="12"/>
  <c r="H441" i="12"/>
  <c r="H434" i="12"/>
  <c r="H433" i="12"/>
  <c r="H431" i="12"/>
  <c r="H432" i="12" s="1"/>
  <c r="H423" i="12"/>
  <c r="H422" i="12"/>
  <c r="H420" i="12"/>
  <c r="H419" i="12"/>
  <c r="H412" i="12"/>
  <c r="H411" i="12"/>
  <c r="H401" i="12"/>
  <c r="H400" i="12"/>
  <c r="H399" i="12"/>
  <c r="H397" i="12"/>
  <c r="H396" i="12"/>
  <c r="H389" i="12"/>
  <c r="H387" i="12"/>
  <c r="H385" i="12"/>
  <c r="H384" i="12"/>
  <c r="H377" i="12"/>
  <c r="H376" i="12"/>
  <c r="H375" i="12"/>
  <c r="H373" i="12"/>
  <c r="H372" i="12"/>
  <c r="H365" i="12"/>
  <c r="H364" i="12"/>
  <c r="H363" i="12"/>
  <c r="H361" i="12"/>
  <c r="H360" i="12"/>
  <c r="H353" i="12"/>
  <c r="H349" i="12"/>
  <c r="H348" i="12"/>
  <c r="H341" i="12"/>
  <c r="H339" i="12"/>
  <c r="H338" i="12"/>
  <c r="H331" i="12"/>
  <c r="H329" i="12"/>
  <c r="H330" i="12" s="1"/>
  <c r="H322" i="12"/>
  <c r="H320" i="12"/>
  <c r="H321" i="12" s="1"/>
  <c r="H296" i="12"/>
  <c r="H288" i="12"/>
  <c r="H287" i="12"/>
  <c r="H280" i="12"/>
  <c r="H279" i="12"/>
  <c r="H278" i="12"/>
  <c r="H277" i="12"/>
  <c r="H275" i="12"/>
  <c r="H260" i="12"/>
  <c r="H259" i="12"/>
  <c r="H258" i="12"/>
  <c r="H251" i="12"/>
  <c r="H250" i="12"/>
  <c r="H249" i="12"/>
  <c r="H248" i="12"/>
  <c r="H241" i="12"/>
  <c r="H240" i="12"/>
  <c r="H239" i="12"/>
  <c r="H232" i="12"/>
  <c r="H231" i="12"/>
  <c r="H230" i="12"/>
  <c r="H228" i="12"/>
  <c r="H227" i="12"/>
  <c r="H226" i="12"/>
  <c r="H219" i="12"/>
  <c r="H218" i="12"/>
  <c r="H217" i="12"/>
  <c r="H215" i="12"/>
  <c r="H214" i="12"/>
  <c r="H207" i="12"/>
  <c r="H206" i="12"/>
  <c r="H204" i="12"/>
  <c r="H203" i="12"/>
  <c r="H196" i="12"/>
  <c r="H195" i="12"/>
  <c r="H194" i="12"/>
  <c r="H187" i="12"/>
  <c r="H186" i="12"/>
  <c r="H185" i="12"/>
  <c r="H183" i="12"/>
  <c r="H182" i="12"/>
  <c r="H181" i="12"/>
  <c r="H174" i="12"/>
  <c r="H173" i="12"/>
  <c r="H172" i="12"/>
  <c r="H170" i="12"/>
  <c r="H169" i="12"/>
  <c r="H162" i="12"/>
  <c r="H161" i="12"/>
  <c r="H159" i="12"/>
  <c r="H158" i="12"/>
  <c r="H151" i="12"/>
  <c r="H150" i="12"/>
  <c r="H148" i="12"/>
  <c r="H140" i="12"/>
  <c r="H137" i="12"/>
  <c r="H136" i="12"/>
  <c r="H129" i="12"/>
  <c r="H128" i="12"/>
  <c r="H127" i="12"/>
  <c r="H120" i="12"/>
  <c r="H119" i="12"/>
  <c r="H118" i="12"/>
  <c r="H116" i="12"/>
  <c r="H115" i="12"/>
  <c r="H114" i="12"/>
  <c r="H107" i="12"/>
  <c r="H106" i="12"/>
  <c r="H105" i="12"/>
  <c r="H103" i="12"/>
  <c r="H102" i="12"/>
  <c r="H91" i="12"/>
  <c r="H92" i="12" s="1"/>
  <c r="H83" i="12"/>
  <c r="H82" i="12"/>
  <c r="H80" i="12"/>
  <c r="H79" i="12"/>
  <c r="H72" i="12"/>
  <c r="H71" i="12"/>
  <c r="H70" i="12"/>
  <c r="H59" i="12"/>
  <c r="H60" i="12" s="1"/>
  <c r="H57" i="12" s="1"/>
  <c r="H49" i="12"/>
  <c r="H47" i="12"/>
  <c r="H46" i="12"/>
  <c r="H39" i="12"/>
  <c r="H38" i="12"/>
  <c r="H37" i="12"/>
  <c r="H35" i="12"/>
  <c r="H33" i="12"/>
  <c r="H32" i="12"/>
  <c r="H25" i="12"/>
  <c r="H24" i="12"/>
  <c r="H23" i="12"/>
  <c r="H22" i="12"/>
  <c r="H21" i="12"/>
  <c r="H15" i="12"/>
  <c r="H14" i="12" s="1"/>
  <c r="E8" i="5" s="1"/>
  <c r="H9" i="12"/>
  <c r="H4" i="12" s="1"/>
  <c r="E7" i="5" s="1"/>
  <c r="H1113" i="12" l="1"/>
  <c r="H1110" i="12" s="1"/>
  <c r="E155" i="5" s="1"/>
  <c r="H1091" i="12"/>
  <c r="E153" i="5" s="1"/>
  <c r="H675" i="12"/>
  <c r="H672" i="12" s="1"/>
  <c r="E108" i="5" s="1"/>
  <c r="H34" i="12"/>
  <c r="H31" i="12" s="1"/>
  <c r="E17" i="5" s="1"/>
  <c r="H429" i="12"/>
  <c r="E69" i="5" s="1"/>
  <c r="H407" i="12"/>
  <c r="E66" i="5" s="1"/>
  <c r="H897" i="12"/>
  <c r="H894" i="12" s="1"/>
  <c r="E133" i="5" s="1"/>
  <c r="H649" i="12"/>
  <c r="H646" i="12" s="1"/>
  <c r="E105" i="5" s="1"/>
  <c r="H768" i="12"/>
  <c r="E121" i="5" s="1"/>
  <c r="H318" i="12"/>
  <c r="E53" i="5" s="1"/>
  <c r="H350" i="12"/>
  <c r="H347" i="12" s="1"/>
  <c r="E59" i="5" s="1"/>
  <c r="H362" i="12"/>
  <c r="H359" i="12" s="1"/>
  <c r="E60" i="5" s="1"/>
  <c r="H421" i="12"/>
  <c r="H418" i="12" s="1"/>
  <c r="E67" i="5" s="1"/>
  <c r="H790" i="12"/>
  <c r="H787" i="12" s="1"/>
  <c r="E123" i="5" s="1"/>
  <c r="H839" i="12"/>
  <c r="H836" i="12" s="1"/>
  <c r="E128" i="5" s="1"/>
  <c r="H855" i="12"/>
  <c r="H851" i="12" s="1"/>
  <c r="E129" i="5" s="1"/>
  <c r="H913" i="12"/>
  <c r="H910" i="12" s="1"/>
  <c r="E134" i="5" s="1"/>
  <c r="H946" i="12"/>
  <c r="H943" i="12" s="1"/>
  <c r="E136" i="5" s="1"/>
  <c r="H104" i="12"/>
  <c r="H101" i="12" s="1"/>
  <c r="E25" i="5" s="1"/>
  <c r="H398" i="12"/>
  <c r="H395" i="12" s="1"/>
  <c r="E65" i="5" s="1"/>
  <c r="H443" i="12"/>
  <c r="H440" i="12" s="1"/>
  <c r="H69" i="12"/>
  <c r="H257" i="12"/>
  <c r="E19" i="5"/>
  <c r="H340" i="12"/>
  <c r="H337" i="12" s="1"/>
  <c r="E56" i="5" s="1"/>
  <c r="H577" i="12"/>
  <c r="H574" i="12" s="1"/>
  <c r="E96" i="5" s="1"/>
  <c r="H1039" i="12"/>
  <c r="H1036" i="12" s="1"/>
  <c r="E145" i="5" s="1"/>
  <c r="H126" i="12"/>
  <c r="H229" i="12"/>
  <c r="H225" i="12" s="1"/>
  <c r="E38" i="5" s="1"/>
  <c r="H780" i="12"/>
  <c r="H777" i="12" s="1"/>
  <c r="E122" i="5" s="1"/>
  <c r="H738" i="12"/>
  <c r="H734" i="12" s="1"/>
  <c r="E118" i="5" s="1"/>
  <c r="H1014" i="12"/>
  <c r="H1011" i="12" s="1"/>
  <c r="E142" i="5" s="1"/>
  <c r="H138" i="12"/>
  <c r="H149" i="12"/>
  <c r="H146" i="12" s="1"/>
  <c r="E30" i="5" s="1"/>
  <c r="H160" i="12"/>
  <c r="H157" i="12" s="1"/>
  <c r="E31" i="5" s="1"/>
  <c r="H193" i="12"/>
  <c r="H289" i="12"/>
  <c r="H305" i="12"/>
  <c r="H302" i="12" s="1"/>
  <c r="E50" i="5" s="1"/>
  <c r="H486" i="12"/>
  <c r="H483" i="12" s="1"/>
  <c r="E80" i="5" s="1"/>
  <c r="H614" i="12"/>
  <c r="H611" i="12" s="1"/>
  <c r="E101" i="5" s="1"/>
  <c r="H961" i="12"/>
  <c r="H957" i="12" s="1"/>
  <c r="E137" i="5" s="1"/>
  <c r="H1027" i="12"/>
  <c r="H1024" i="12" s="1"/>
  <c r="E143" i="5" s="1"/>
  <c r="H1070" i="12"/>
  <c r="H1066" i="12" s="1"/>
  <c r="E150" i="5" s="1"/>
  <c r="H716" i="12"/>
  <c r="H725" i="12"/>
  <c r="E117" i="5" s="1"/>
  <c r="H89" i="12"/>
  <c r="E24" i="5" s="1"/>
  <c r="H81" i="12"/>
  <c r="H78" i="12" s="1"/>
  <c r="E23" i="5" s="1"/>
  <c r="H117" i="12"/>
  <c r="H113" i="12" s="1"/>
  <c r="E26" i="5" s="1"/>
  <c r="H205" i="12"/>
  <c r="H202" i="12" s="1"/>
  <c r="E36" i="5" s="1"/>
  <c r="H216" i="12"/>
  <c r="H213" i="12" s="1"/>
  <c r="E37" i="5" s="1"/>
  <c r="H238" i="12"/>
  <c r="H328" i="12"/>
  <c r="E54" i="5" s="1"/>
  <c r="H386" i="12"/>
  <c r="H383" i="12" s="1"/>
  <c r="E63" i="5" s="1"/>
  <c r="H454" i="12"/>
  <c r="H451" i="12" s="1"/>
  <c r="H474" i="12"/>
  <c r="H471" i="12" s="1"/>
  <c r="E77" i="5" s="1"/>
  <c r="H496" i="12"/>
  <c r="H493" i="12" s="1"/>
  <c r="E82" i="5" s="1"/>
  <c r="H602" i="12"/>
  <c r="H599" i="12" s="1"/>
  <c r="E100" i="5" s="1"/>
  <c r="H637" i="12"/>
  <c r="H634" i="12" s="1"/>
  <c r="E103" i="5" s="1"/>
  <c r="H686" i="12"/>
  <c r="H683" i="12" s="1"/>
  <c r="E111" i="5" s="1"/>
  <c r="H697" i="12"/>
  <c r="H694" i="12" s="1"/>
  <c r="E112" i="5" s="1"/>
  <c r="H708" i="12"/>
  <c r="H705" i="12" s="1"/>
  <c r="E113" i="5" s="1"/>
  <c r="H805" i="12"/>
  <c r="E126" i="5" s="1"/>
  <c r="H823" i="12"/>
  <c r="H820" i="12" s="1"/>
  <c r="E127" i="5" s="1"/>
  <c r="H1102" i="12"/>
  <c r="E154" i="5" s="1"/>
  <c r="H520" i="12"/>
  <c r="H517" i="12" s="1"/>
  <c r="E87" i="5" s="1"/>
  <c r="H761" i="12"/>
  <c r="H758" i="12" s="1"/>
  <c r="E120" i="5" s="1"/>
  <c r="H866" i="12"/>
  <c r="H863" i="12" s="1"/>
  <c r="E130" i="5" s="1"/>
  <c r="H877" i="12"/>
  <c r="H874" i="12" s="1"/>
  <c r="E132" i="5" s="1"/>
  <c r="H976" i="12"/>
  <c r="H972" i="12" s="1"/>
  <c r="E138" i="5" s="1"/>
  <c r="E146" i="5"/>
  <c r="H1081" i="12"/>
  <c r="E151" i="5" s="1"/>
  <c r="H20" i="12"/>
  <c r="E14" i="5" s="1"/>
  <c r="H48" i="12"/>
  <c r="H45" i="12" s="1"/>
  <c r="E18" i="5" s="1"/>
  <c r="H171" i="12"/>
  <c r="H168" i="12" s="1"/>
  <c r="E32" i="5" s="1"/>
  <c r="H184" i="12"/>
  <c r="H180" i="12" s="1"/>
  <c r="E33" i="5" s="1"/>
  <c r="H247" i="12"/>
  <c r="H266" i="12"/>
  <c r="E45" i="5" s="1"/>
  <c r="H276" i="12"/>
  <c r="H273" i="12" s="1"/>
  <c r="E47" i="5" s="1"/>
  <c r="H374" i="12"/>
  <c r="H371" i="12" s="1"/>
  <c r="E61" i="5" s="1"/>
  <c r="H464" i="12"/>
  <c r="H461" i="12" s="1"/>
  <c r="E75" i="5" s="1"/>
  <c r="H531" i="12"/>
  <c r="H528" i="12" s="1"/>
  <c r="E89" i="5" s="1"/>
  <c r="H541" i="12"/>
  <c r="H538" i="12" s="1"/>
  <c r="E92" i="5" s="1"/>
  <c r="H590" i="12"/>
  <c r="H587" i="12" s="1"/>
  <c r="E99" i="5" s="1"/>
  <c r="H625" i="12"/>
  <c r="H622" i="12" s="1"/>
  <c r="E102" i="5" s="1"/>
  <c r="H662" i="12"/>
  <c r="H659" i="12" s="1"/>
  <c r="E106" i="5" s="1"/>
  <c r="H929" i="12"/>
  <c r="H926" i="12" s="1"/>
  <c r="E135" i="5" s="1"/>
  <c r="H990" i="12"/>
  <c r="H987" i="12" s="1"/>
  <c r="E139" i="5" s="1"/>
  <c r="H1001" i="12"/>
  <c r="H998" i="12" s="1"/>
  <c r="E141" i="5" s="1"/>
  <c r="H1057" i="12"/>
  <c r="E147" i="5" s="1"/>
  <c r="H135" i="12" l="1"/>
  <c r="E29" i="5" s="1"/>
  <c r="H286" i="12"/>
  <c r="E49" i="5" s="1"/>
  <c r="E72" i="5"/>
  <c r="E74" i="5"/>
  <c r="D56" i="5"/>
  <c r="D65" i="5"/>
  <c r="D67" i="5"/>
  <c r="D66" i="5"/>
  <c r="D80" i="5"/>
  <c r="D84" i="5"/>
  <c r="D61" i="5"/>
  <c r="D60" i="5"/>
  <c r="D132" i="5"/>
  <c r="D127" i="5"/>
  <c r="D142" i="5"/>
  <c r="D143" i="5"/>
  <c r="D145" i="5"/>
  <c r="D146" i="5"/>
  <c r="D129" i="5"/>
  <c r="D141" i="5"/>
  <c r="D136" i="5"/>
  <c r="C260" i="7" l="1"/>
  <c r="D42" i="5"/>
  <c r="E202" i="7"/>
  <c r="H202" i="7" s="1"/>
  <c r="F230" i="7"/>
  <c r="I230" i="7" s="1"/>
  <c r="G225" i="7"/>
  <c r="G223" i="7"/>
  <c r="G222" i="7"/>
  <c r="F220" i="7"/>
  <c r="F222" i="7"/>
  <c r="F223" i="7"/>
  <c r="F224" i="7"/>
  <c r="F225" i="7"/>
  <c r="F226" i="7"/>
  <c r="F227" i="7"/>
  <c r="F219" i="7"/>
  <c r="H229" i="7"/>
  <c r="C229" i="7"/>
  <c r="F229" i="7" s="1"/>
  <c r="H228" i="7"/>
  <c r="C228" i="7"/>
  <c r="F228" i="7" s="1"/>
  <c r="H227" i="7"/>
  <c r="H226" i="7"/>
  <c r="H225" i="7"/>
  <c r="H224" i="7"/>
  <c r="H223" i="7"/>
  <c r="H222" i="7"/>
  <c r="H221" i="7"/>
  <c r="C221" i="7"/>
  <c r="F221" i="7" s="1"/>
  <c r="H220" i="7"/>
  <c r="H219" i="7"/>
  <c r="F197" i="7"/>
  <c r="F195" i="7"/>
  <c r="C201" i="7"/>
  <c r="E201" i="7" s="1"/>
  <c r="C200" i="7"/>
  <c r="E200" i="7" s="1"/>
  <c r="C193" i="7"/>
  <c r="E193" i="7" s="1"/>
  <c r="G192" i="7"/>
  <c r="G193" i="7"/>
  <c r="G194" i="7"/>
  <c r="G195" i="7"/>
  <c r="G196" i="7"/>
  <c r="G197" i="7"/>
  <c r="G198" i="7"/>
  <c r="G199" i="7"/>
  <c r="G200" i="7"/>
  <c r="G201" i="7"/>
  <c r="G191" i="7"/>
  <c r="E199" i="7"/>
  <c r="E198" i="7"/>
  <c r="E197" i="7"/>
  <c r="E196" i="7"/>
  <c r="E195" i="7"/>
  <c r="E194" i="7"/>
  <c r="E192" i="7"/>
  <c r="E191" i="7"/>
  <c r="E85" i="7"/>
  <c r="I222" i="7" l="1"/>
  <c r="H192" i="7"/>
  <c r="D260" i="7"/>
  <c r="D41" i="5" s="1"/>
  <c r="I220" i="7"/>
  <c r="I225" i="7"/>
  <c r="I229" i="7"/>
  <c r="I221" i="7"/>
  <c r="I224" i="7"/>
  <c r="I227" i="7"/>
  <c r="H196" i="7"/>
  <c r="H200" i="7"/>
  <c r="I219" i="7"/>
  <c r="I223" i="7"/>
  <c r="I226" i="7"/>
  <c r="I228" i="7"/>
  <c r="H193" i="7"/>
  <c r="H201" i="7"/>
  <c r="H195" i="7"/>
  <c r="H197" i="7"/>
  <c r="H191" i="7"/>
  <c r="H199" i="7"/>
  <c r="H194" i="7"/>
  <c r="H198" i="7"/>
  <c r="G1181" i="11"/>
  <c r="G1164" i="11"/>
  <c r="G636" i="11"/>
  <c r="G614" i="11"/>
  <c r="G592" i="11"/>
  <c r="H203" i="7" l="1"/>
  <c r="C214" i="7" s="1"/>
  <c r="I231" i="7"/>
  <c r="G564" i="11"/>
  <c r="G502" i="11"/>
  <c r="G363" i="11"/>
  <c r="H354" i="11"/>
  <c r="G479" i="11"/>
  <c r="G31" i="11"/>
  <c r="H7" i="11"/>
  <c r="G182" i="7" l="1"/>
  <c r="E182" i="7"/>
  <c r="E184" i="7"/>
  <c r="F184" i="7"/>
  <c r="H182" i="7" l="1"/>
  <c r="H184" i="7"/>
  <c r="D128" i="5"/>
  <c r="D117" i="5"/>
  <c r="C275" i="7"/>
  <c r="D87" i="5" s="1"/>
  <c r="D89" i="5" l="1"/>
  <c r="D267" i="7"/>
  <c r="F267" i="7" s="1"/>
  <c r="G267" i="7" s="1"/>
  <c r="D266" i="7"/>
  <c r="F266" i="7" s="1"/>
  <c r="G266" i="7" s="1"/>
  <c r="D265" i="7"/>
  <c r="F265" i="7" s="1"/>
  <c r="G265" i="7" s="1"/>
  <c r="D126" i="5"/>
  <c r="D118" i="5"/>
  <c r="D139" i="5"/>
  <c r="G268" i="7" l="1"/>
  <c r="D96" i="5" s="1"/>
  <c r="B74" i="7"/>
  <c r="B78" i="7" s="1"/>
  <c r="E78" i="7" s="1"/>
  <c r="D37" i="5" s="1"/>
  <c r="B69" i="7"/>
  <c r="B68" i="7"/>
  <c r="C256" i="7"/>
  <c r="D108" i="5" s="1"/>
  <c r="D250" i="7"/>
  <c r="F250" i="7" s="1"/>
  <c r="D94" i="5" s="1"/>
  <c r="D249" i="7"/>
  <c r="F249" i="7" s="1"/>
  <c r="D248" i="7"/>
  <c r="F248" i="7" s="1"/>
  <c r="D246" i="7"/>
  <c r="F246" i="7" s="1"/>
  <c r="G246" i="7" s="1"/>
  <c r="D102" i="5" s="1"/>
  <c r="D245" i="7"/>
  <c r="D244" i="7"/>
  <c r="F244" i="7" s="1"/>
  <c r="F247" i="7"/>
  <c r="G247" i="7" s="1"/>
  <c r="F241" i="7"/>
  <c r="D242" i="7"/>
  <c r="F242" i="7" s="1"/>
  <c r="D240" i="7"/>
  <c r="F240" i="7" s="1"/>
  <c r="F251" i="7"/>
  <c r="G251" i="7" s="1"/>
  <c r="D105" i="5" s="1"/>
  <c r="F252" i="7"/>
  <c r="G252" i="7" s="1"/>
  <c r="D113" i="5" s="1"/>
  <c r="F245" i="7"/>
  <c r="D101" i="5" s="1"/>
  <c r="D153" i="5"/>
  <c r="D151" i="5"/>
  <c r="D150" i="5"/>
  <c r="D154" i="5"/>
  <c r="D155" i="5"/>
  <c r="F183" i="7"/>
  <c r="F181" i="7"/>
  <c r="F180" i="7"/>
  <c r="F179" i="7"/>
  <c r="F178" i="7"/>
  <c r="F177" i="7"/>
  <c r="E132" i="7"/>
  <c r="F132" i="7" s="1"/>
  <c r="E133" i="7"/>
  <c r="F133" i="7" s="1"/>
  <c r="E134" i="7"/>
  <c r="F134" i="7" s="1"/>
  <c r="E135" i="7"/>
  <c r="F135" i="7" s="1"/>
  <c r="F136" i="7"/>
  <c r="F138" i="7"/>
  <c r="F137" i="7"/>
  <c r="G183" i="7"/>
  <c r="E185" i="7"/>
  <c r="H185" i="7" s="1"/>
  <c r="E178" i="7"/>
  <c r="E179" i="7"/>
  <c r="E180" i="7"/>
  <c r="E181" i="7"/>
  <c r="E177" i="7"/>
  <c r="C183" i="7"/>
  <c r="E183" i="7" s="1"/>
  <c r="F42" i="5"/>
  <c r="F41" i="5"/>
  <c r="F125" i="5"/>
  <c r="F116" i="5"/>
  <c r="F89" i="5"/>
  <c r="F84" i="5"/>
  <c r="F67" i="5"/>
  <c r="E103" i="7"/>
  <c r="D53" i="5" s="1"/>
  <c r="F97" i="7"/>
  <c r="F96" i="7"/>
  <c r="E83" i="7"/>
  <c r="E84" i="7"/>
  <c r="E82" i="7"/>
  <c r="F74" i="7"/>
  <c r="F7" i="7"/>
  <c r="B28" i="7"/>
  <c r="E28" i="7" s="1"/>
  <c r="D18" i="5" s="1"/>
  <c r="E86" i="7" l="1"/>
  <c r="D47" i="5" s="1"/>
  <c r="G250" i="7"/>
  <c r="D112" i="5"/>
  <c r="D103" i="5"/>
  <c r="D100" i="5"/>
  <c r="G244" i="7"/>
  <c r="D111" i="5" s="1"/>
  <c r="D93" i="5"/>
  <c r="G249" i="7"/>
  <c r="G248" i="7"/>
  <c r="D92" i="5"/>
  <c r="D106" i="5"/>
  <c r="G245" i="7"/>
  <c r="F243" i="7"/>
  <c r="H183" i="7"/>
  <c r="H177" i="7"/>
  <c r="H180" i="7"/>
  <c r="H179" i="7"/>
  <c r="H178" i="7"/>
  <c r="H181" i="7"/>
  <c r="F139" i="7"/>
  <c r="F98" i="7"/>
  <c r="D50" i="5" s="1"/>
  <c r="F92" i="7"/>
  <c r="D49" i="5" s="1"/>
  <c r="D54" i="5"/>
  <c r="D39" i="5"/>
  <c r="F39" i="5" s="1"/>
  <c r="F69" i="7"/>
  <c r="F68" i="7"/>
  <c r="F61" i="7"/>
  <c r="F62" i="7"/>
  <c r="F56" i="7"/>
  <c r="D26" i="5" s="1"/>
  <c r="D24" i="7"/>
  <c r="G24" i="7" s="1"/>
  <c r="B20" i="7"/>
  <c r="D12" i="7"/>
  <c r="D13" i="7"/>
  <c r="D14" i="7"/>
  <c r="D15" i="7"/>
  <c r="D16" i="7"/>
  <c r="D17" i="7"/>
  <c r="D18" i="7"/>
  <c r="D19" i="7"/>
  <c r="D11" i="7"/>
  <c r="D3" i="7"/>
  <c r="D7" i="5" s="1"/>
  <c r="P20" i="11"/>
  <c r="P18" i="11"/>
  <c r="P17" i="11"/>
  <c r="P10" i="11"/>
  <c r="P8" i="11"/>
  <c r="P9" i="11"/>
  <c r="P5" i="11"/>
  <c r="P6" i="11"/>
  <c r="H5" i="11"/>
  <c r="H6" i="11" s="1"/>
  <c r="H4" i="11" s="1"/>
  <c r="D52" i="7" l="1"/>
  <c r="D24" i="5" s="1"/>
  <c r="C215" i="7"/>
  <c r="D32" i="5" s="1"/>
  <c r="F7" i="5"/>
  <c r="H186" i="7"/>
  <c r="P19" i="11"/>
  <c r="P16" i="11" s="1"/>
  <c r="P7" i="11"/>
  <c r="P4" i="11" s="1"/>
  <c r="D99" i="5"/>
  <c r="G243" i="7"/>
  <c r="D45" i="5"/>
  <c r="F70" i="7"/>
  <c r="D36" i="5" s="1"/>
  <c r="F52" i="7"/>
  <c r="D25" i="5" s="1"/>
  <c r="D38" i="5"/>
  <c r="D27" i="5"/>
  <c r="F27" i="5" s="1"/>
  <c r="D17" i="5"/>
  <c r="D20" i="7"/>
  <c r="D14" i="5" s="1"/>
  <c r="D8" i="5"/>
  <c r="F20" i="5"/>
  <c r="H1206" i="11"/>
  <c r="H106" i="11" l="1"/>
  <c r="H87" i="11"/>
  <c r="G69" i="11"/>
  <c r="H69" i="11" s="1"/>
  <c r="L69" i="11"/>
  <c r="H66" i="11"/>
  <c r="H67" i="11"/>
  <c r="H1205" i="11"/>
  <c r="H1199" i="11"/>
  <c r="H1198" i="11"/>
  <c r="H1196" i="11"/>
  <c r="H1195" i="11"/>
  <c r="H1188" i="11"/>
  <c r="H1187" i="11"/>
  <c r="H1186" i="11"/>
  <c r="H1185" i="11"/>
  <c r="H1184" i="11"/>
  <c r="H1183" i="11"/>
  <c r="H1182" i="11"/>
  <c r="H1181" i="11"/>
  <c r="H1179" i="11"/>
  <c r="H1178" i="11"/>
  <c r="H1171" i="11"/>
  <c r="H1170" i="11"/>
  <c r="H1169" i="11"/>
  <c r="H1168" i="11"/>
  <c r="H1167" i="11"/>
  <c r="H1166" i="11"/>
  <c r="H1165" i="11"/>
  <c r="H1162" i="11"/>
  <c r="H1161" i="11"/>
  <c r="H1154" i="11"/>
  <c r="H1153" i="11"/>
  <c r="H1152" i="11"/>
  <c r="H1151" i="11"/>
  <c r="H1144" i="11"/>
  <c r="H1143" i="11"/>
  <c r="H1142" i="11"/>
  <c r="H1141" i="11"/>
  <c r="F1140" i="11"/>
  <c r="F1138" i="11"/>
  <c r="H1138" i="11" s="1"/>
  <c r="F1137" i="11"/>
  <c r="H1137" i="11" s="1"/>
  <c r="H1130" i="11"/>
  <c r="H1128" i="11"/>
  <c r="H1129" i="11" s="1"/>
  <c r="H1127" i="11" s="1"/>
  <c r="F147" i="5" s="1"/>
  <c r="H1121" i="11"/>
  <c r="H1120" i="11"/>
  <c r="H1118" i="11"/>
  <c r="H1117" i="11"/>
  <c r="H1110" i="11"/>
  <c r="H1108" i="11"/>
  <c r="H1107" i="11"/>
  <c r="H1109" i="11" s="1"/>
  <c r="H1100" i="11"/>
  <c r="H1099" i="11"/>
  <c r="H1098" i="11"/>
  <c r="H1096" i="11"/>
  <c r="H1095" i="11"/>
  <c r="H1088" i="11"/>
  <c r="H1087" i="11"/>
  <c r="H1086" i="11"/>
  <c r="H1085" i="11"/>
  <c r="H1083" i="11"/>
  <c r="H1082" i="11"/>
  <c r="H1075" i="11"/>
  <c r="H1074" i="11"/>
  <c r="H1073" i="11"/>
  <c r="H1072" i="11"/>
  <c r="H1071" i="11"/>
  <c r="H1070" i="11"/>
  <c r="H1068" i="11"/>
  <c r="H1067" i="11"/>
  <c r="H1060" i="11"/>
  <c r="H1059" i="11"/>
  <c r="H1057" i="11"/>
  <c r="H1056" i="11"/>
  <c r="H1049" i="11"/>
  <c r="H1048" i="11"/>
  <c r="H1047" i="11"/>
  <c r="H1046" i="11"/>
  <c r="H1044" i="11"/>
  <c r="H1043" i="11"/>
  <c r="H1036" i="11"/>
  <c r="H1035" i="11"/>
  <c r="H1034" i="11"/>
  <c r="H1033" i="11"/>
  <c r="H1032" i="11"/>
  <c r="H1030" i="11"/>
  <c r="H1029" i="11"/>
  <c r="H1028" i="11"/>
  <c r="H1021" i="11"/>
  <c r="H1020" i="11"/>
  <c r="H1019" i="11"/>
  <c r="H1018" i="11"/>
  <c r="H1016" i="11"/>
  <c r="H1015" i="11"/>
  <c r="H1008" i="11"/>
  <c r="H1007" i="11"/>
  <c r="H1006" i="11"/>
  <c r="H1005" i="11"/>
  <c r="H1004" i="11"/>
  <c r="H1003" i="11"/>
  <c r="H1002" i="11"/>
  <c r="H1001" i="11"/>
  <c r="H999" i="11"/>
  <c r="H998" i="11"/>
  <c r="H991" i="11"/>
  <c r="H990" i="11"/>
  <c r="H989" i="11"/>
  <c r="H988" i="11"/>
  <c r="H986" i="11"/>
  <c r="H985" i="11"/>
  <c r="H978" i="11"/>
  <c r="H977" i="11"/>
  <c r="H976" i="11"/>
  <c r="H975" i="11"/>
  <c r="H974" i="11"/>
  <c r="H973" i="11"/>
  <c r="H972" i="11"/>
  <c r="H970" i="11"/>
  <c r="H969" i="11"/>
  <c r="H962" i="11"/>
  <c r="H961" i="11"/>
  <c r="H960" i="11"/>
  <c r="H959" i="11"/>
  <c r="H958" i="11"/>
  <c r="H957" i="11"/>
  <c r="H956" i="11"/>
  <c r="H955" i="11"/>
  <c r="H954" i="11"/>
  <c r="H953" i="11"/>
  <c r="H952" i="11"/>
  <c r="H950" i="11"/>
  <c r="H949" i="11"/>
  <c r="H942" i="11"/>
  <c r="H941" i="11"/>
  <c r="H939" i="11"/>
  <c r="H938" i="11"/>
  <c r="H931" i="11"/>
  <c r="H930" i="11"/>
  <c r="H928" i="11"/>
  <c r="H927" i="11"/>
  <c r="H926" i="11"/>
  <c r="H919" i="11"/>
  <c r="H918" i="11"/>
  <c r="H917" i="11"/>
  <c r="H916" i="11"/>
  <c r="H915" i="11"/>
  <c r="H914" i="11"/>
  <c r="H912" i="11"/>
  <c r="H911" i="11"/>
  <c r="H904" i="11"/>
  <c r="H903" i="11"/>
  <c r="H902" i="11"/>
  <c r="H901" i="11"/>
  <c r="H900" i="11"/>
  <c r="H899" i="11"/>
  <c r="H898" i="11"/>
  <c r="H896" i="11"/>
  <c r="H895" i="11"/>
  <c r="H888" i="11"/>
  <c r="H887" i="11"/>
  <c r="H886" i="11"/>
  <c r="H885" i="11"/>
  <c r="H884" i="11"/>
  <c r="H883" i="11"/>
  <c r="H882" i="11"/>
  <c r="H881" i="11"/>
  <c r="H880" i="11"/>
  <c r="H873" i="11"/>
  <c r="H872" i="11"/>
  <c r="H871" i="11"/>
  <c r="H864" i="11"/>
  <c r="H862" i="11"/>
  <c r="H861" i="11"/>
  <c r="H854" i="11"/>
  <c r="H852" i="11"/>
  <c r="H851" i="11"/>
  <c r="H844" i="11"/>
  <c r="H842" i="11"/>
  <c r="H843" i="11" s="1"/>
  <c r="H835" i="11"/>
  <c r="H833" i="11"/>
  <c r="H832" i="11"/>
  <c r="H825" i="11"/>
  <c r="H824" i="11"/>
  <c r="H823" i="11"/>
  <c r="H822" i="11"/>
  <c r="H821" i="11"/>
  <c r="H820" i="11"/>
  <c r="H819" i="11"/>
  <c r="H818" i="11"/>
  <c r="H817" i="11"/>
  <c r="H816" i="11"/>
  <c r="H815" i="11"/>
  <c r="H814" i="11"/>
  <c r="H813" i="11"/>
  <c r="H812" i="11"/>
  <c r="H810" i="11"/>
  <c r="H809" i="11"/>
  <c r="H808" i="11"/>
  <c r="H801" i="11"/>
  <c r="H799" i="11"/>
  <c r="H800" i="11" s="1"/>
  <c r="H798" i="11" s="1"/>
  <c r="F117" i="5" s="1"/>
  <c r="H792" i="11"/>
  <c r="H791" i="11"/>
  <c r="H790" i="11"/>
  <c r="H783" i="11"/>
  <c r="H782" i="11"/>
  <c r="H780" i="11"/>
  <c r="H779" i="11"/>
  <c r="H772" i="11"/>
  <c r="H771" i="11"/>
  <c r="H769" i="11"/>
  <c r="H768" i="11"/>
  <c r="H761" i="11"/>
  <c r="H760" i="11"/>
  <c r="H758" i="11"/>
  <c r="H757" i="11"/>
  <c r="H750" i="11"/>
  <c r="H748" i="11"/>
  <c r="H747" i="11"/>
  <c r="H740" i="11"/>
  <c r="H739" i="11"/>
  <c r="H738" i="11"/>
  <c r="H736" i="11"/>
  <c r="H735" i="11"/>
  <c r="H728" i="11"/>
  <c r="H727" i="11"/>
  <c r="H726" i="11"/>
  <c r="H725" i="11"/>
  <c r="H723" i="11"/>
  <c r="H722" i="11"/>
  <c r="H715" i="11"/>
  <c r="H714" i="11"/>
  <c r="H713" i="11"/>
  <c r="H711" i="11"/>
  <c r="H710" i="11"/>
  <c r="H703" i="11"/>
  <c r="H702" i="11"/>
  <c r="H701" i="11"/>
  <c r="H699" i="11"/>
  <c r="H698" i="11"/>
  <c r="H692" i="11"/>
  <c r="H691" i="11"/>
  <c r="H690" i="11"/>
  <c r="H688" i="11"/>
  <c r="H687" i="11"/>
  <c r="H680" i="11"/>
  <c r="H679" i="11"/>
  <c r="H678" i="11"/>
  <c r="H676" i="11"/>
  <c r="H675" i="11"/>
  <c r="H668" i="11"/>
  <c r="H667" i="11"/>
  <c r="H666" i="11"/>
  <c r="H664" i="11"/>
  <c r="H663" i="11"/>
  <c r="H656" i="11"/>
  <c r="H655" i="11"/>
  <c r="H654" i="11"/>
  <c r="H653" i="11"/>
  <c r="H652" i="11"/>
  <c r="H650" i="11"/>
  <c r="H649" i="11"/>
  <c r="H642" i="11"/>
  <c r="H641" i="11"/>
  <c r="H640" i="11"/>
  <c r="H639" i="11"/>
  <c r="H638" i="11"/>
  <c r="H637" i="11"/>
  <c r="H636" i="11"/>
  <c r="H635" i="11"/>
  <c r="H634" i="11"/>
  <c r="H633" i="11"/>
  <c r="H632" i="11"/>
  <c r="H630" i="11"/>
  <c r="H629" i="11"/>
  <c r="H628" i="11"/>
  <c r="H627" i="11"/>
  <c r="H620" i="11"/>
  <c r="H619" i="11"/>
  <c r="H618" i="11"/>
  <c r="H617" i="11"/>
  <c r="H616" i="11"/>
  <c r="H615" i="11"/>
  <c r="H614" i="11"/>
  <c r="H613" i="11"/>
  <c r="H612" i="11"/>
  <c r="H611" i="11"/>
  <c r="H610" i="11"/>
  <c r="H608" i="11"/>
  <c r="H607" i="11"/>
  <c r="H606" i="11"/>
  <c r="H605" i="11"/>
  <c r="H598" i="11"/>
  <c r="H597" i="11"/>
  <c r="H596" i="11"/>
  <c r="H595" i="11"/>
  <c r="H594" i="11"/>
  <c r="H593" i="11"/>
  <c r="H592" i="11"/>
  <c r="H591" i="11"/>
  <c r="H590" i="11"/>
  <c r="H589" i="11"/>
  <c r="H588" i="11"/>
  <c r="H586" i="11"/>
  <c r="H585" i="11"/>
  <c r="H584" i="11"/>
  <c r="H583" i="11"/>
  <c r="H576" i="11"/>
  <c r="H575" i="11"/>
  <c r="H573" i="11"/>
  <c r="H572" i="11"/>
  <c r="H565" i="11"/>
  <c r="H564" i="11"/>
  <c r="H562" i="11"/>
  <c r="H561" i="11"/>
  <c r="H554" i="11"/>
  <c r="H553" i="11" s="1"/>
  <c r="H547" i="11"/>
  <c r="H546" i="11"/>
  <c r="H545" i="11"/>
  <c r="H543" i="11"/>
  <c r="H542" i="11"/>
  <c r="H535" i="11"/>
  <c r="H533" i="11"/>
  <c r="H532" i="11"/>
  <c r="H525" i="11"/>
  <c r="H524" i="11"/>
  <c r="H522" i="11"/>
  <c r="H521" i="11"/>
  <c r="H514" i="11"/>
  <c r="H513" i="11"/>
  <c r="H512" i="11"/>
  <c r="H510" i="11"/>
  <c r="H509" i="11"/>
  <c r="H502" i="11"/>
  <c r="H500" i="11"/>
  <c r="H499" i="11"/>
  <c r="H492" i="11"/>
  <c r="H491" i="11"/>
  <c r="H489" i="11"/>
  <c r="H488" i="11"/>
  <c r="H490" i="11" s="1"/>
  <c r="H481" i="11"/>
  <c r="H480" i="11"/>
  <c r="H479" i="11"/>
  <c r="H478" i="11"/>
  <c r="H476" i="11"/>
  <c r="H477" i="11" s="1"/>
  <c r="H469" i="11"/>
  <c r="H468" i="11"/>
  <c r="H466" i="11"/>
  <c r="H465" i="11"/>
  <c r="H458" i="11"/>
  <c r="H457" i="11"/>
  <c r="H450" i="11"/>
  <c r="H449" i="11"/>
  <c r="H448" i="11"/>
  <c r="H446" i="11"/>
  <c r="H445" i="11"/>
  <c r="H438" i="11"/>
  <c r="H436" i="11"/>
  <c r="H435" i="11"/>
  <c r="H428" i="11"/>
  <c r="H427" i="11"/>
  <c r="H425" i="11"/>
  <c r="H424" i="11"/>
  <c r="H417" i="11"/>
  <c r="H416" i="11"/>
  <c r="H415" i="11"/>
  <c r="H413" i="11"/>
  <c r="H412" i="11"/>
  <c r="H405" i="11"/>
  <c r="H404" i="11"/>
  <c r="H403" i="11"/>
  <c r="H401" i="11"/>
  <c r="H400" i="11"/>
  <c r="H393" i="11"/>
  <c r="H392" i="11"/>
  <c r="H390" i="11"/>
  <c r="H389" i="11"/>
  <c r="H382" i="11"/>
  <c r="H380" i="11"/>
  <c r="H379" i="11"/>
  <c r="H372" i="11"/>
  <c r="H370" i="11"/>
  <c r="H371" i="11" s="1"/>
  <c r="H363" i="11"/>
  <c r="H361" i="11"/>
  <c r="H362" i="11" s="1"/>
  <c r="H360" i="11" s="1"/>
  <c r="H353" i="11"/>
  <c r="H352" i="11"/>
  <c r="H351" i="11"/>
  <c r="H349" i="11"/>
  <c r="H348" i="11"/>
  <c r="H341" i="11"/>
  <c r="H340" i="11"/>
  <c r="H338" i="11"/>
  <c r="H337" i="11"/>
  <c r="H330" i="11"/>
  <c r="H329" i="11"/>
  <c r="H328" i="11"/>
  <c r="H327" i="11"/>
  <c r="H326" i="11"/>
  <c r="H324" i="11"/>
  <c r="H323" i="11"/>
  <c r="H316" i="11"/>
  <c r="H315" i="11"/>
  <c r="H313" i="11"/>
  <c r="H312" i="11"/>
  <c r="H314" i="11" s="1"/>
  <c r="H305" i="11"/>
  <c r="H304" i="11"/>
  <c r="H303" i="11"/>
  <c r="H296" i="11"/>
  <c r="H295" i="11"/>
  <c r="H294" i="11"/>
  <c r="H293" i="11"/>
  <c r="H286" i="11"/>
  <c r="H285" i="11"/>
  <c r="H284" i="11"/>
  <c r="H277" i="11"/>
  <c r="H276" i="11"/>
  <c r="H275" i="11"/>
  <c r="H273" i="11"/>
  <c r="H272" i="11"/>
  <c r="H271" i="11"/>
  <c r="H264" i="11"/>
  <c r="H263" i="11" s="1"/>
  <c r="H257" i="11"/>
  <c r="H256" i="11"/>
  <c r="H255" i="11"/>
  <c r="H253" i="11"/>
  <c r="H252" i="11"/>
  <c r="H245" i="11"/>
  <c r="H244" i="11"/>
  <c r="H242" i="11"/>
  <c r="H241" i="11"/>
  <c r="H234" i="11"/>
  <c r="H233" i="11"/>
  <c r="H232" i="11"/>
  <c r="H225" i="11"/>
  <c r="H224" i="11"/>
  <c r="H223" i="11"/>
  <c r="H221" i="11"/>
  <c r="H220" i="11"/>
  <c r="H219" i="11"/>
  <c r="H212" i="11"/>
  <c r="H211" i="11" s="1"/>
  <c r="H205" i="11"/>
  <c r="H204" i="11"/>
  <c r="H203" i="11"/>
  <c r="H201" i="11"/>
  <c r="H200" i="11"/>
  <c r="H193" i="11"/>
  <c r="H192" i="11"/>
  <c r="H190" i="11"/>
  <c r="H189" i="11"/>
  <c r="H182" i="11"/>
  <c r="H181" i="11"/>
  <c r="H179" i="11"/>
  <c r="H178" i="11"/>
  <c r="H171" i="11"/>
  <c r="H170" i="11"/>
  <c r="H168" i="11"/>
  <c r="H167" i="11"/>
  <c r="H160" i="11"/>
  <c r="H159" i="11"/>
  <c r="H158" i="11"/>
  <c r="H151" i="11"/>
  <c r="H150" i="11"/>
  <c r="H149" i="11"/>
  <c r="H147" i="11"/>
  <c r="H146" i="11"/>
  <c r="H145" i="11"/>
  <c r="H138" i="11"/>
  <c r="H137" i="11" s="1"/>
  <c r="H131" i="11"/>
  <c r="H130" i="11"/>
  <c r="H129" i="11"/>
  <c r="H127" i="11"/>
  <c r="H126" i="11"/>
  <c r="H128" i="11" s="1"/>
  <c r="H119" i="11"/>
  <c r="H118" i="11"/>
  <c r="H117" i="11"/>
  <c r="H115" i="11"/>
  <c r="H114" i="11"/>
  <c r="H107" i="11"/>
  <c r="H104" i="11"/>
  <c r="H103" i="11"/>
  <c r="H105" i="11" s="1"/>
  <c r="H96" i="11"/>
  <c r="H95" i="11"/>
  <c r="H94" i="11"/>
  <c r="H85" i="11"/>
  <c r="H84" i="11"/>
  <c r="H77" i="11"/>
  <c r="H76" i="11" s="1"/>
  <c r="H70" i="11"/>
  <c r="H59" i="11"/>
  <c r="H58" i="11"/>
  <c r="H57" i="11"/>
  <c r="H56" i="11"/>
  <c r="H55" i="11"/>
  <c r="H53" i="11"/>
  <c r="H52" i="11"/>
  <c r="H50" i="11"/>
  <c r="H49" i="11"/>
  <c r="H48" i="11"/>
  <c r="H41" i="11"/>
  <c r="H40" i="11"/>
  <c r="H39" i="11"/>
  <c r="H38" i="11"/>
  <c r="H37" i="11"/>
  <c r="H36" i="11"/>
  <c r="H35" i="11"/>
  <c r="H34" i="11"/>
  <c r="H33" i="11"/>
  <c r="H32" i="11"/>
  <c r="H31" i="11"/>
  <c r="H30" i="11"/>
  <c r="H29" i="11"/>
  <c r="H28" i="11"/>
  <c r="H27" i="11"/>
  <c r="H25" i="11"/>
  <c r="H24" i="11"/>
  <c r="H23" i="11"/>
  <c r="H22" i="11"/>
  <c r="H21" i="11"/>
  <c r="H20" i="11"/>
  <c r="H13" i="11"/>
  <c r="H14" i="11" s="1"/>
  <c r="H12" i="11" s="1"/>
  <c r="F8" i="5" s="1"/>
  <c r="H102" i="11" l="1"/>
  <c r="F23" i="5" s="1"/>
  <c r="H125" i="11"/>
  <c r="F25" i="5" s="1"/>
  <c r="H148" i="11"/>
  <c r="H274" i="11"/>
  <c r="H270" i="11" s="1"/>
  <c r="F38" i="5" s="1"/>
  <c r="H311" i="11"/>
  <c r="F45" i="5" s="1"/>
  <c r="H1106" i="11"/>
  <c r="F145" i="5" s="1"/>
  <c r="H475" i="11"/>
  <c r="F69" i="5" s="1"/>
  <c r="C236" i="7"/>
  <c r="H1197" i="11"/>
  <c r="H1194" i="11" s="1"/>
  <c r="F155" i="5" s="1"/>
  <c r="H987" i="11"/>
  <c r="H689" i="11"/>
  <c r="H511" i="11"/>
  <c r="H508" i="11" s="1"/>
  <c r="F75" i="5" s="1"/>
  <c r="H467" i="11"/>
  <c r="H464" i="11" s="1"/>
  <c r="H391" i="11"/>
  <c r="H388" i="11" s="1"/>
  <c r="F59" i="5" s="1"/>
  <c r="H350" i="11"/>
  <c r="H347" i="11" s="1"/>
  <c r="F50" i="5" s="1"/>
  <c r="H501" i="11"/>
  <c r="H498" i="11" s="1"/>
  <c r="F74" i="5" s="1"/>
  <c r="H971" i="11"/>
  <c r="H26" i="11"/>
  <c r="H19" i="11" s="1"/>
  <c r="F14" i="5" s="1"/>
  <c r="H631" i="11"/>
  <c r="H626" i="11" s="1"/>
  <c r="F94" i="5" s="1"/>
  <c r="H1017" i="11"/>
  <c r="H1014" i="11" s="1"/>
  <c r="F136" i="5" s="1"/>
  <c r="H665" i="11"/>
  <c r="H712" i="11"/>
  <c r="H709" i="11" s="1"/>
  <c r="F103" i="5" s="1"/>
  <c r="H523" i="11"/>
  <c r="H520" i="11" s="1"/>
  <c r="F77" i="5" s="1"/>
  <c r="H759" i="11"/>
  <c r="H756" i="11" s="1"/>
  <c r="F111" i="5" s="1"/>
  <c r="H544" i="11"/>
  <c r="H541" i="11" s="1"/>
  <c r="F82" i="5" s="1"/>
  <c r="H54" i="11"/>
  <c r="H47" i="11" s="1"/>
  <c r="F17" i="5" s="1"/>
  <c r="H243" i="11"/>
  <c r="H240" i="11" s="1"/>
  <c r="F36" i="5" s="1"/>
  <c r="H437" i="11"/>
  <c r="H434" i="11" s="1"/>
  <c r="H563" i="11"/>
  <c r="H560" i="11" s="1"/>
  <c r="F87" i="5" s="1"/>
  <c r="H574" i="11"/>
  <c r="H571" i="11" s="1"/>
  <c r="H749" i="11"/>
  <c r="H746" i="11" s="1"/>
  <c r="F108" i="5" s="1"/>
  <c r="H841" i="11"/>
  <c r="F121" i="5" s="1"/>
  <c r="H369" i="11"/>
  <c r="F54" i="5" s="1"/>
  <c r="H222" i="11"/>
  <c r="H218" i="11" s="1"/>
  <c r="H534" i="11"/>
  <c r="H531" i="11" s="1"/>
  <c r="F80" i="5" s="1"/>
  <c r="H700" i="11"/>
  <c r="H697" i="11" s="1"/>
  <c r="F102" i="5" s="1"/>
  <c r="H737" i="11"/>
  <c r="H734" i="11" s="1"/>
  <c r="F106" i="5" s="1"/>
  <c r="H770" i="11"/>
  <c r="H767" i="11" s="1"/>
  <c r="F112" i="5" s="1"/>
  <c r="H781" i="11"/>
  <c r="H778" i="11" s="1"/>
  <c r="F113" i="5" s="1"/>
  <c r="H402" i="11"/>
  <c r="H399" i="11" s="1"/>
  <c r="F60" i="5" s="1"/>
  <c r="H968" i="11"/>
  <c r="F133" i="5" s="1"/>
  <c r="H381" i="11"/>
  <c r="H378" i="11" s="1"/>
  <c r="F56" i="5" s="1"/>
  <c r="H686" i="11"/>
  <c r="F101" i="5" s="1"/>
  <c r="H811" i="11"/>
  <c r="H807" i="11" s="1"/>
  <c r="F118" i="5" s="1"/>
  <c r="H897" i="11"/>
  <c r="H894" i="11" s="1"/>
  <c r="F127" i="5" s="1"/>
  <c r="H984" i="11"/>
  <c r="F134" i="5" s="1"/>
  <c r="H1069" i="11"/>
  <c r="H1066" i="11" s="1"/>
  <c r="F141" i="5" s="1"/>
  <c r="H1084" i="11"/>
  <c r="H1081" i="11" s="1"/>
  <c r="F142" i="5" s="1"/>
  <c r="H1139" i="11"/>
  <c r="H1136" i="11" s="1"/>
  <c r="F150" i="5" s="1"/>
  <c r="H1180" i="11"/>
  <c r="H1177" i="11" s="1"/>
  <c r="F154" i="5" s="1"/>
  <c r="H609" i="11"/>
  <c r="H604" i="11" s="1"/>
  <c r="H86" i="11"/>
  <c r="H83" i="11" s="1"/>
  <c r="F19" i="5" s="1"/>
  <c r="H116" i="11"/>
  <c r="H113" i="11" s="1"/>
  <c r="F24" i="5" s="1"/>
  <c r="H180" i="11"/>
  <c r="H177" i="11" s="1"/>
  <c r="F30" i="5" s="1"/>
  <c r="H191" i="11"/>
  <c r="H188" i="11" s="1"/>
  <c r="F31" i="5" s="1"/>
  <c r="H339" i="11"/>
  <c r="H487" i="11"/>
  <c r="F72" i="5" s="1"/>
  <c r="H651" i="11"/>
  <c r="H648" i="11" s="1"/>
  <c r="F96" i="5" s="1"/>
  <c r="H677" i="11"/>
  <c r="H674" i="11" s="1"/>
  <c r="F100" i="5" s="1"/>
  <c r="H724" i="11"/>
  <c r="H721" i="11" s="1"/>
  <c r="F105" i="5" s="1"/>
  <c r="H863" i="11"/>
  <c r="H860" i="11" s="1"/>
  <c r="F123" i="5" s="1"/>
  <c r="H913" i="11"/>
  <c r="H910" i="11" s="1"/>
  <c r="F128" i="5" s="1"/>
  <c r="H1163" i="11"/>
  <c r="H1160" i="11" s="1"/>
  <c r="F153" i="5" s="1"/>
  <c r="H1119" i="11"/>
  <c r="H1116" i="11" s="1"/>
  <c r="F146" i="5" s="1"/>
  <c r="H1097" i="11"/>
  <c r="H1094" i="11" s="1"/>
  <c r="F143" i="5" s="1"/>
  <c r="H1058" i="11"/>
  <c r="H1055" i="11" s="1"/>
  <c r="F139" i="5" s="1"/>
  <c r="H1045" i="11"/>
  <c r="H1042" i="11" s="1"/>
  <c r="F138" i="5" s="1"/>
  <c r="H1031" i="11"/>
  <c r="H1027" i="11" s="1"/>
  <c r="F137" i="5" s="1"/>
  <c r="H1000" i="11"/>
  <c r="H997" i="11" s="1"/>
  <c r="F135" i="5" s="1"/>
  <c r="H951" i="11"/>
  <c r="H948" i="11" s="1"/>
  <c r="F132" i="5" s="1"/>
  <c r="H940" i="11"/>
  <c r="H937" i="11" s="1"/>
  <c r="F130" i="5" s="1"/>
  <c r="H929" i="11"/>
  <c r="H925" i="11" s="1"/>
  <c r="F129" i="5" s="1"/>
  <c r="H853" i="11"/>
  <c r="H850" i="11" s="1"/>
  <c r="F122" i="5" s="1"/>
  <c r="H834" i="11"/>
  <c r="H831" i="11" s="1"/>
  <c r="F120" i="5" s="1"/>
  <c r="H662" i="11"/>
  <c r="F99" i="5" s="1"/>
  <c r="H587" i="11"/>
  <c r="H582" i="11" s="1"/>
  <c r="F92" i="5" s="1"/>
  <c r="H447" i="11"/>
  <c r="H444" i="11" s="1"/>
  <c r="F65" i="5" s="1"/>
  <c r="H426" i="11"/>
  <c r="H423" i="11" s="1"/>
  <c r="F63" i="5" s="1"/>
  <c r="H414" i="11"/>
  <c r="H411" i="11" s="1"/>
  <c r="F61" i="5" s="1"/>
  <c r="H325" i="11"/>
  <c r="H322" i="11" s="1"/>
  <c r="F47" i="5" s="1"/>
  <c r="H254" i="11"/>
  <c r="H251" i="11" s="1"/>
  <c r="F37" i="5" s="1"/>
  <c r="H202" i="11"/>
  <c r="H199" i="11" s="1"/>
  <c r="F32" i="5" s="1"/>
  <c r="H789" i="11"/>
  <c r="H169" i="11"/>
  <c r="H166" i="11" s="1"/>
  <c r="F29" i="5" s="1"/>
  <c r="H144" i="11"/>
  <c r="F26" i="5" s="1"/>
  <c r="H231" i="11"/>
  <c r="H879" i="11"/>
  <c r="F126" i="5" s="1"/>
  <c r="H93" i="11"/>
  <c r="H870" i="11"/>
  <c r="H157" i="11"/>
  <c r="H302" i="11"/>
  <c r="H456" i="11"/>
  <c r="F66" i="5" s="1"/>
  <c r="H1150" i="11"/>
  <c r="F151" i="5" s="1"/>
  <c r="H283" i="11"/>
  <c r="H292" i="11"/>
  <c r="H68" i="11"/>
  <c r="H65" i="11" s="1"/>
  <c r="F18" i="5" s="1"/>
  <c r="F53" i="5"/>
  <c r="D34" i="5" l="1"/>
  <c r="F34" i="5" s="1"/>
  <c r="D33" i="5"/>
  <c r="F33" i="5" s="1"/>
  <c r="F93" i="5"/>
  <c r="H336" i="11"/>
  <c r="F49" i="5" s="1"/>
  <c r="H1121" i="12" l="1"/>
  <c r="E158" i="5" s="1"/>
  <c r="F158" i="5" s="1"/>
  <c r="G160" i="5" s="1"/>
  <c r="E84" i="8" s="1"/>
  <c r="E88" i="8" l="1"/>
  <c r="E97" i="8" s="1"/>
  <c r="F76" i="8"/>
  <c r="E100" i="8" l="1"/>
  <c r="G161" i="5" s="1"/>
  <c r="G162" i="5" s="1"/>
  <c r="E95" i="8"/>
  <c r="E92" i="8"/>
  <c r="G54" i="5" l="1"/>
  <c r="G75" i="5"/>
  <c r="G108" i="5"/>
  <c r="G122" i="5"/>
  <c r="G47" i="5"/>
  <c r="G129" i="5"/>
  <c r="G9" i="5"/>
  <c r="G155" i="5"/>
  <c r="G61" i="5"/>
  <c r="G153" i="5"/>
  <c r="G77" i="5"/>
  <c r="G23" i="5"/>
  <c r="G103" i="5"/>
  <c r="G34" i="5"/>
  <c r="G106" i="5"/>
  <c r="G65" i="5"/>
  <c r="G50" i="5"/>
  <c r="G105" i="5"/>
  <c r="G37" i="5"/>
  <c r="G100" i="5"/>
  <c r="G74" i="5"/>
  <c r="G151" i="5"/>
  <c r="G82" i="5"/>
  <c r="G56" i="5"/>
  <c r="G141" i="5"/>
  <c r="G132" i="5"/>
  <c r="G32" i="5"/>
  <c r="G42" i="5"/>
  <c r="G49" i="5"/>
  <c r="G18" i="5"/>
  <c r="G30" i="5"/>
  <c r="G136" i="5"/>
  <c r="G20" i="5"/>
  <c r="G27" i="5"/>
  <c r="G24" i="5"/>
  <c r="G143" i="5"/>
  <c r="G84" i="5"/>
  <c r="G145" i="5"/>
  <c r="G154" i="5"/>
  <c r="G93" i="5"/>
  <c r="G8" i="5"/>
  <c r="G158" i="5"/>
  <c r="G39" i="5"/>
  <c r="G118" i="5"/>
  <c r="G41" i="5"/>
  <c r="G121" i="5"/>
  <c r="G38" i="5"/>
  <c r="G66" i="5"/>
  <c r="G89" i="5"/>
  <c r="G33" i="5"/>
  <c r="G99" i="5"/>
  <c r="G45" i="5"/>
  <c r="G139" i="5"/>
  <c r="G59" i="5"/>
  <c r="G116" i="5"/>
  <c r="G69" i="5"/>
  <c r="G126" i="5"/>
  <c r="G11" i="5"/>
  <c r="G102" i="5"/>
  <c r="G127" i="5"/>
  <c r="G113" i="5"/>
  <c r="G60" i="5"/>
  <c r="G134" i="5"/>
  <c r="G7" i="5"/>
  <c r="G111" i="5"/>
  <c r="G80" i="5"/>
  <c r="G137" i="5"/>
  <c r="G31" i="5"/>
  <c r="G150" i="5"/>
  <c r="G133" i="5"/>
  <c r="G142" i="5"/>
  <c r="G117" i="5"/>
  <c r="G96" i="5"/>
  <c r="G67" i="5"/>
  <c r="G112" i="5"/>
  <c r="G120" i="5"/>
  <c r="G92" i="5"/>
  <c r="G146" i="5"/>
  <c r="G36" i="5"/>
  <c r="G123" i="5"/>
  <c r="G130" i="5"/>
  <c r="G147" i="5"/>
  <c r="G26" i="5"/>
  <c r="G29" i="5"/>
  <c r="G94" i="5"/>
  <c r="G17" i="5"/>
  <c r="G72" i="5"/>
  <c r="G138" i="5"/>
  <c r="G101" i="5"/>
  <c r="G53" i="5"/>
  <c r="G135" i="5"/>
  <c r="G125" i="5"/>
  <c r="G19" i="5"/>
  <c r="G25" i="5"/>
  <c r="G63" i="5"/>
  <c r="G128" i="5"/>
  <c r="G87" i="5"/>
  <c r="G1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tc={C3E3E4B3-9BB4-4062-9BF2-1CAC84A8304A}</author>
    <author>tc={E9561C8F-FCEA-47DD-BECA-B3BCC0917A36}</author>
  </authors>
  <commentList>
    <comment ref="D133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3 ralos e um lavatório por apartamento</t>
        </r>
      </text>
    </comment>
    <comment ref="D134" authorId="1" shapeId="0" xr:uid="{00000000-0006-0000-0100-000002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pia da cozinha e máquina de lavar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tc={7E056EEC-B3E9-4B51-AFA7-492AD8CDEEF7}</author>
    <author>tc={FE36B980-30C5-4A82-A010-28A8ECC27C99}</author>
    <author>tc={00EB1D7B-55AC-440F-9EB7-A991EC0F2D63}</author>
    <author>tc={31550164-B851-46ED-A735-1BBC5F58E5C7}</author>
    <author>tc={C6FD6FB2-111C-49A4-AD32-170E01FEA31E}</author>
    <author>tc={F0B7AEE7-07B2-46DF-8D06-9A06A888CA90}</author>
    <author>tc={EE3CF7B2-4A84-4CC8-9976-1BF35CB98F03}</author>
    <author>tc={492BBFBC-1E87-4567-9B6B-FB6217C735DB}</author>
    <author>tc={5BFF6786-5E50-4C2B-85FE-19C47428B248}</author>
    <author>tc={2A59BCEB-2203-4B73-854B-A037239BDDA2}</author>
    <author>tc={B7F15184-4EB1-4200-B7EE-CDC577A32FB5}</author>
    <author>tc={45D2E96D-C9D2-4656-A73D-0147319E5A76}</author>
    <author>tc={EA310384-5B3C-42DD-B25A-F8934E4473C5}</author>
    <author>tc={457046A8-2D90-4738-B98A-C04BD6BFA1EE}</author>
    <author>tc={E007A17A-6164-45F7-8069-225F781EE012}</author>
    <author>tc={01B53490-FF42-4401-8BED-38B5D205B4D8}</author>
    <author>tc={B1913C87-4FC8-4597-97CC-A4909E5A6D00}</author>
    <author>tc={37603D47-8437-4541-ACA1-B03612D6164B}</author>
    <author>tc={ADABBC58-E36E-4586-AE6C-8C0597EA9769}</author>
    <author>tc={7007F42C-36B8-45D7-A721-D87850D8C892}</author>
    <author>tc={E0030C4F-D1B3-43B2-8F61-D4C1471671C9}</author>
    <author>tc={D9B8D293-F48E-4A1F-9571-221BFFB48F38}</author>
    <author>tc={B37E97EB-EDCD-42F9-8D49-13F8A3310D92}</author>
    <author>tc={C67EBFFC-A949-4576-86EA-7C3ED226DE2C}</author>
    <author>tc={7FC6DA53-71A5-4171-BE8F-097302A0B853}</author>
    <author>tc={07A5F455-C682-4BFC-B808-78A3B32557EF}</author>
    <author>tc={307D9ADC-7603-4B71-B116-2DD9ED188846}</author>
    <author>tc={21C62741-0680-490E-8489-079A10646937}</author>
    <author>tc={E3930B60-11CB-4D7D-B0D4-3C1BF6566DDF}</author>
    <author>tc={81F4B879-C8D5-43EA-B889-358297E7C704}</author>
    <author>tc={64D63F14-64D6-4401-AB67-7BE6392BA4F1}</author>
    <author>tc={41D1ED69-772B-4349-A27F-D1719A9E7521}</author>
    <author>tc={B2B459D8-B9E3-4A48-96E6-3C2F6EC8116B}</author>
    <author>tc={48B6E22A-DA1F-41BC-8BB5-9A01DF808707}</author>
    <author>tc={13C22447-23BA-4278-A3C7-EA40A8E93160}</author>
    <author>tc={94E88D4E-5D46-4605-B338-B326F7CB3F0B}</author>
    <author>tc={9193F88F-2A40-497F-9FB2-D92BD20969E8}</author>
    <author>tc={3C4B6078-6197-44EE-ABC1-D29016C5D81D}</author>
    <author>tc={3423F597-F804-4A56-96ED-0BA7E05063D8}</author>
    <author>tc={FE93B244-558E-452A-895A-E2AD5F15E15D}</author>
    <author>tc={9A1DAF6E-A8E8-4DF0-9023-174B64456649}</author>
  </authors>
  <commentList>
    <comment ref="G31" authorId="0" shapeId="0" xr:uid="{00000000-0006-0000-0200-000001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CAL HIDRATADA CHIII ITAÚ - 9,39 REAIS A EMBALAGEM DE 20 KG</t>
        </r>
      </text>
    </comment>
    <comment ref="D69" authorId="1" shapeId="0" xr:uid="{00000000-0006-0000-0200-000002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NO SINAPI É DADAO EM M² , SENDO Q 1KG = 1/1,48M²</t>
        </r>
      </text>
    </comment>
    <comment ref="G69" authorId="2" shapeId="0" xr:uid="{00000000-0006-0000-0200-000003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NO SINAPI É DADO EM M² , SENDO Q 1KG = 0,6757 M² E QUE O CUSTO DO METRO QUADRADO É 7,61</t>
        </r>
      </text>
    </comment>
    <comment ref="C316" authorId="3" shapeId="0" xr:uid="{00000000-0006-0000-0200-000004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02847/ORSE</t>
        </r>
      </text>
    </comment>
    <comment ref="C323" authorId="4" shapeId="0" xr:uid="{00000000-0006-0000-0200-000005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ajudante de operação em geral 00000248</t>
        </r>
      </text>
    </comment>
    <comment ref="C324" authorId="5" shapeId="0" xr:uid="{00000000-0006-0000-0200-000006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telhador 00012869</t>
        </r>
      </text>
    </comment>
    <comment ref="B326" authorId="6" shapeId="0" xr:uid="{00000000-0006-0000-0200-000007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07884/ORSE</t>
        </r>
      </text>
    </comment>
    <comment ref="C326" authorId="7" shapeId="0" xr:uid="{00000000-0006-0000-0200-000008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Parafuso com rosca soberba galvanizado 110x8mm</t>
        </r>
      </text>
    </comment>
    <comment ref="B328" authorId="8" shapeId="0" xr:uid="{00000000-0006-0000-0200-000009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10449/ORSE</t>
        </r>
      </text>
    </comment>
    <comment ref="C328" authorId="9" shapeId="0" xr:uid="{00000000-0006-0000-0200-00000A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Calço plástico para telha modulada, inclusive parafuso de fixação</t>
        </r>
      </text>
    </comment>
    <comment ref="B329" authorId="10" shapeId="0" xr:uid="{00000000-0006-0000-0200-00000B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00682/ORSE</t>
        </r>
      </text>
    </comment>
    <comment ref="C329" authorId="11" shapeId="0" xr:uid="{00000000-0006-0000-0200-00000C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Conjunto vedacao (eternit - ref. 901906 ou similar)</t>
        </r>
      </text>
    </comment>
    <comment ref="B354" authorId="12" shapeId="0" xr:uid="{00000000-0006-0000-0200-00000D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01117/SINAPI</t>
        </r>
      </text>
    </comment>
    <comment ref="C354" authorId="13" shapeId="0" xr:uid="{00000000-0006-0000-0200-00000E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Calha para agua furtada de chapa de aco galvanizada num 26,corte 40 cm</t>
        </r>
      </text>
    </comment>
    <comment ref="C363" authorId="14" shapeId="0" xr:uid="{00000000-0006-0000-0200-00000F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Denver Emulsão Asfáltica Denverfrio Frio Asfalto 20 Kg
R$134,9</t>
        </r>
      </text>
    </comment>
    <comment ref="C458" authorId="15" shapeId="0" xr:uid="{00000000-0006-0000-0200-000010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ARGAMASSA COLANTE TIPO ACIII</t>
        </r>
      </text>
    </comment>
    <comment ref="G479" authorId="16" shapeId="0" xr:uid="{00000000-0006-0000-0200-000011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CAL HIDRATADA CHIII ITAÚ - 9,39 REAIS A EMBALAGEM DE 20 KG</t>
        </r>
      </text>
    </comment>
    <comment ref="C502" authorId="17" shapeId="0" xr:uid="{00000000-0006-0000-0200-000012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https://www.ferreiracosta.com/Produto/6926/textura-premium-300kg-branco-neve-acrilica-coral?gclid=Cj0KCQjw0pfzBRCOARIsANi0g0vLqGYxPU5NlEg__dw1JE7RHGxQJIKKIV3maZcayiKo9SgFu-o8Q94aArEEEALw_wcB</t>
        </r>
      </text>
    </comment>
    <comment ref="C554" authorId="18" shapeId="0" xr:uid="{00000000-0006-0000-0200-000013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01775/ORSE	Forro de gesso, em placas 60x60 cm, sem madeiramento para fixação, sob telhado</t>
        </r>
      </text>
    </comment>
    <comment ref="C564" authorId="19" shapeId="0" xr:uid="{00000000-0006-0000-0200-000014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https://www.leroymerlin.com.br/massa-acrilica-6kg-coral_85138375</t>
        </r>
      </text>
    </comment>
    <comment ref="C589" authorId="20" shapeId="0" xr:uid="{00000000-0006-0000-0200-000015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CH - I</t>
        </r>
      </text>
    </comment>
    <comment ref="C592" authorId="21" shapeId="0" xr:uid="{00000000-0006-0000-0200-000016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https://produto.mercadolivre.com.br/MLB-801818343-parafuso-madeira-61-x-90-mm-pacote-com-10-vonder-_JM</t>
        </r>
      </text>
    </comment>
    <comment ref="C593" authorId="22" shapeId="0" xr:uid="{00000000-0006-0000-0200-000017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https://produto.mercadolivre.com.br/MLB-704789039-taco-de-madeira-espessura-1-cms-modelo-exportaco-_JM?matt_tool=82322591&amp;matt_word&amp;gclid=Cj0KCQjw0pfzBRCOARIsANi0g0vy0vi-odzOCU2f1cDW4Kks2W_grXBNviA8Vt3TEbagq5gNCSxKsRwaAuTnEALw_wcB&amp;quantity=1</t>
        </r>
      </text>
    </comment>
    <comment ref="C594" authorId="23" shapeId="0" xr:uid="{00000000-0006-0000-0200-000018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00000181 BATENTE/ PORTAL/ADUELA/ MARCO MACICO, E= *3* CM, L= *15* CM, *60 CM A 120* CM X *210* JG 120,47
CM, EM CEDRINHO/ ANGELIM COMERCIAL/ EUCALIPTO/ CURUPIXA/ PEROBA/ CUMARU OU
EQUIVALENTE DA REGIAO (NAO INCLUI ALIZARES)</t>
        </r>
      </text>
    </comment>
    <comment ref="C595" authorId="24" shapeId="0" xr:uid="{00000000-0006-0000-0200-000019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GUARNICAO/ ALIZAR/ VISTA MACICA, E= *1* CM, L= *4,5* CM, EM CEDRINHO/ ANGELIM M 3,33
COMERCIAL/ EUCALIPTO/ CURUPIXA/ PEROBA/ CUMARU OU EQUIVALENTE DA REGIAO</t>
        </r>
      </text>
    </comment>
    <comment ref="C611" authorId="25" shapeId="0" xr:uid="{00000000-0006-0000-0200-00001A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CH - I</t>
        </r>
      </text>
    </comment>
    <comment ref="C640" authorId="26" shapeId="0" xr:uid="{00000000-0006-0000-0200-00001B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01826/ORSE	Porta em madeira de lei muiracatiara com almofadas - 90 x 210cm</t>
        </r>
      </text>
    </comment>
    <comment ref="C656" authorId="27" shapeId="0" xr:uid="{00000000-0006-0000-0200-00001C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00005318 SOLVENTE DILUENTE A BASE DE AGUARRAS</t>
        </r>
      </text>
    </comment>
    <comment ref="C668" authorId="28" shapeId="0" xr:uid="{00000000-0006-0000-0200-00001D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https://www.madeiramadeira.com.br/janela-maxim-ar-uma-secao-brilhante-linha-max-lux-esquadrias-80-x-80-2430508.html?origem=pla-2430508&amp;utm_source=google&amp;utm_medium=cpc&amp;utm_content=janela-de-aluminio-949&amp;utm_term=2430508&amp;gclid=Cj0KCQjw0pfzBRCOARIsANi0g0vhSeGL_qLB-HThnK0LKJNXllXBe-sEzn6QYOdjNMifEi0zNVmvd80aAojbEALw_wcB</t>
        </r>
      </text>
    </comment>
    <comment ref="C680" authorId="29" shapeId="0" xr:uid="{00000000-0006-0000-0200-00001E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https://www.leroymerlin.com.br/janela-de-correr-aluminio-2-folhas-1,00x1,20m-artens_89786494?region=outros&amp;gclid=Cj0KCQjw0pfzBRCOARIsANi0g0tOIRgPZZzrY42vGKavVyqus9EbYZtlv027K9w0acUs6j7t9rvhcz4aAnCfEALw_wcB</t>
        </r>
      </text>
    </comment>
    <comment ref="C692" authorId="30" shapeId="0" xr:uid="{00000000-0006-0000-0200-00001F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https://www.madeiramadeira.com.br/vitro-de-aluminio-2-folhas-1-20-x-1-20-sem-grade-cor-branco-linha-all-modular-1232048.html?_btid=d41d8cd98f00b204e9800998ecf8427e</t>
        </r>
      </text>
    </comment>
    <comment ref="C703" authorId="31" shapeId="0" xr:uid="{00000000-0006-0000-0200-000020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https://www.madeiramadeira.com.br/vitro-de-aluminio-4-folhas-1-00-x-2-00-sem-grade-cor-branco-linha-all-modular-1232282.html?_btid=d41d8cd98f00b204e9800998ecf8427e</t>
        </r>
      </text>
    </comment>
    <comment ref="C715" authorId="32" shapeId="0" xr:uid="{00000000-0006-0000-0200-000021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https://www.google.com/aclk?sa=l&amp;ai=DChcSEwiM18aKtY7oAhXMnrMKHeiXD_YYABAPGgJxbg&amp;sig=AOD64_2C44TBfWeudUgphfNzybfI3McPGA&amp;ctype=5&amp;q=&amp;ved=0ahUKEwiE6b6KtY7oAhVRWq0KHQycDiQQpysIRA&amp;adurl=</t>
        </r>
      </text>
    </comment>
    <comment ref="C750" authorId="33" shapeId="0" xr:uid="{00000000-0006-0000-0200-000022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00021148 TUBO ACO CARBONO SEM COSTURA 2", E= *3,91* MM, SCHEDULE 40, *5,43* KG/M</t>
        </r>
      </text>
    </comment>
    <comment ref="C816" authorId="34" shapeId="0" xr:uid="{00000000-0006-0000-0200-000023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CONECTOR BRONZE/LATAO (REF 603) SEM ANEL DE SOLDA, BOLSA X ROSCA F, 22 MM X 3/4"</t>
        </r>
      </text>
    </comment>
    <comment ref="C900" authorId="35" shapeId="0" xr:uid="{00000000-0006-0000-0200-000024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TOMADA 2P+T 10A, 250V, CONJUNTO MONTADO PARA SOBREPOR 4" X 2" (CAIXA + MODULO)</t>
        </r>
      </text>
    </comment>
    <comment ref="F900" authorId="36" shapeId="0" xr:uid="{00000000-0006-0000-0200-000025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NO ORSE FALA 1, MAS COMO NO SINAPI TEM O KIT COM A CAIXA E A TOMADA EU COLOQUEI 0,5 PRA CADA</t>
        </r>
      </text>
    </comment>
    <comment ref="C988" authorId="37" shapeId="0" xr:uid="{00000000-0006-0000-0200-000026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JOELHO PVC, SOLDAVEL, PB, 90 GRAUS, DN 50 MM, PARA ESGOTO PREDIAL</t>
        </r>
      </text>
    </comment>
    <comment ref="C1018" authorId="38" shapeId="0" xr:uid="{00000000-0006-0000-0200-000027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JOELHO PVC COM VISITA, 90 GRAUS, DN 100 X 50 MM, SERIE NORMAL, PARA ESGOTO UN 10,84
PREDIAL</t>
        </r>
      </text>
    </comment>
    <comment ref="C1164" authorId="39" shapeId="0" xr:uid="{00000000-0006-0000-0200-000028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https://www.cec.com.br/ferragens/pregos-parafusos-e-buchas/parafuso/parafuso-maquina-para-metal-1/4x21/2-com-4-pecas?produto=1357827</t>
        </r>
      </text>
    </comment>
    <comment ref="C1181" authorId="40" shapeId="0" xr:uid="{00000000-0006-0000-0200-000029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https://www.cec.com.br/ferragens/pregos-parafusos-e-buchas/parafuso/parafuso-maquina-para-metal-1/4x21/2-com-4-pecas?produto=1357827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tc={7E056EEC-B3E9-4B51-AFA7-492AD8CDEEF7}</author>
    <author>tc={E007A17A-6164-45F7-8069-225F781EE012}</author>
    <author>tc={01B53490-FF42-4401-8BED-38B5D205B4D8}</author>
    <author>tc={37603D47-8437-4541-ACA1-B03612D6164B}</author>
    <author>tc={7007F42C-36B8-45D7-A721-D87850D8C892}</author>
    <author>tc={21C62741-0680-490E-8489-079A10646937}</author>
    <author>tc={E3930B60-11CB-4D7D-B0D4-3C1BF6566DDF}</author>
    <author>tc={81F4B879-C8D5-43EA-B889-358297E7C704}</author>
    <author>tc={64D63F14-64D6-4401-AB67-7BE6392BA4F1}</author>
    <author>tc={41D1ED69-772B-4349-A27F-D1719A9E7521}</author>
    <author>tc={B2B459D8-B9E3-4A48-96E6-3C2F6EC8116B}</author>
    <author>tc={48B6E22A-DA1F-41BC-8BB5-9A01DF808707}</author>
    <author>tc={13C22447-23BA-4278-A3C7-EA40A8E93160}</author>
    <author>tc={94E88D4E-5D46-4605-B338-B326F7CB3F0B}</author>
    <author>tc={9193F88F-2A40-497F-9FB2-D92BD20969E8}</author>
    <author>tc={FE93B244-558E-452A-895A-E2AD5F15E15D}</author>
    <author>tc={9A1DAF6E-A8E8-4DF0-9023-174B64456649}</author>
  </authors>
  <commentList>
    <comment ref="G25" authorId="0" shapeId="0" xr:uid="{00000000-0006-0000-0300-000001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CAL HIDRATADA CHIII ITAÚ - 9,39 REAIS A EMBALAGEM DE 20 KG</t>
        </r>
      </text>
    </comment>
    <comment ref="C322" authorId="1" shapeId="0" xr:uid="{00000000-0006-0000-0300-000002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Denver Emulsão Asfáltica Denverfrio Frio Asfalto 20 Kg
R$134,9</t>
        </r>
      </text>
    </comment>
    <comment ref="C412" authorId="2" shapeId="0" xr:uid="{00000000-0006-0000-0300-000003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ARGAMASSA COLANTE TIPO ACIII</t>
        </r>
      </text>
    </comment>
    <comment ref="C455" authorId="3" shapeId="0" xr:uid="{00000000-0006-0000-0300-000004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https://www.ferreiracosta.com/Produto/6926/textura-premium-300kg-branco-neve-acrilica-coral?gclid=Cj0KCQjw0pfzBRCOARIsANi0g0vLqGYxPU5NlEg__dw1JE7RHGxQJIKKIV3maZcayiKo9SgFu-o8Q94aArEEEALw_wcB</t>
        </r>
      </text>
    </comment>
    <comment ref="C521" authorId="4" shapeId="0" xr:uid="{00000000-0006-0000-0300-000005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https://www.leroymerlin.com.br/massa-acrilica-6kg-coral_85138375</t>
        </r>
      </text>
    </comment>
    <comment ref="C581" authorId="5" shapeId="0" xr:uid="{00000000-0006-0000-0300-000006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00005318 SOLVENTE DILUENTE A BASE DE AGUARRAS</t>
        </r>
      </text>
    </comment>
    <comment ref="C593" authorId="6" shapeId="0" xr:uid="{00000000-0006-0000-0300-000007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https://www.madeiramadeira.com.br/janela-maxim-ar-uma-secao-brilhante-linha-max-lux-esquadrias-80-x-80-2430508.html?origem=pla-2430508&amp;utm_source=google&amp;utm_medium=cpc&amp;utm_content=janela-de-aluminio-949&amp;utm_term=2430508&amp;gclid=Cj0KCQjw0pfzBRCOARIsANi0g0vhSeGL_qLB-HThnK0LKJNXllXBe-sEzn6QYOdjNMifEi0zNVmvd80aAojbEALw_wcB</t>
        </r>
      </text>
    </comment>
    <comment ref="C605" authorId="7" shapeId="0" xr:uid="{00000000-0006-0000-0300-000008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https://www.leroymerlin.com.br/janela-de-correr-aluminio-2-folhas-1,00x1,20m-artens_89786494?region=outros&amp;gclid=Cj0KCQjw0pfzBRCOARIsANi0g0tOIRgPZZzrY42vGKavVyqus9EbYZtlv027K9w0acUs6j7t9rvhcz4aAnCfEALw_wcB</t>
        </r>
      </text>
    </comment>
    <comment ref="C617" authorId="8" shapeId="0" xr:uid="{00000000-0006-0000-0300-000009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https://www.madeiramadeira.com.br/vitro-de-aluminio-2-folhas-1-20-x-1-20-sem-grade-cor-branco-linha-all-modular-1232048.html?_btid=d41d8cd98f00b204e9800998ecf8427e</t>
        </r>
      </text>
    </comment>
    <comment ref="C628" authorId="9" shapeId="0" xr:uid="{00000000-0006-0000-0300-00000A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https://www.madeiramadeira.com.br/vitro-de-aluminio-4-folhas-1-00-x-2-00-sem-grade-cor-branco-linha-all-modular-1232282.html?_btid=d41d8cd98f00b204e9800998ecf8427e</t>
        </r>
      </text>
    </comment>
    <comment ref="C640" authorId="10" shapeId="0" xr:uid="{00000000-0006-0000-0300-00000B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https://www.google.com/aclk?sa=l&amp;ai=DChcSEwiM18aKtY7oAhXMnrMKHeiXD_YYABAPGgJxbg&amp;sig=AOD64_2C44TBfWeudUgphfNzybfI3McPGA&amp;ctype=5&amp;q=&amp;ved=0ahUKEwiE6b6KtY7oAhVRWq0KHQycDiQQpysIRA&amp;adurl=</t>
        </r>
      </text>
    </comment>
    <comment ref="C677" authorId="11" shapeId="0" xr:uid="{00000000-0006-0000-0300-00000C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00021148 TUBO ACO CARBONO SEM COSTURA 2", E= *3,91* MM, SCHEDULE 40, *5,43* KG/M</t>
        </r>
      </text>
    </comment>
    <comment ref="C743" authorId="12" shapeId="0" xr:uid="{00000000-0006-0000-0300-00000D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CONECTOR BRONZE/LATAO (REF 603) SEM ANEL DE SOLDA, BOLSA X ROSCA F, 22 MM X 3/4"</t>
        </r>
      </text>
    </comment>
    <comment ref="C826" authorId="13" shapeId="0" xr:uid="{00000000-0006-0000-0300-00000E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TOMADA 2P+T 10A, 250V, CONJUNTO MONTADO PARA SOBREPOR 4" X 2" (CAIXA + MODULO)</t>
        </r>
      </text>
    </comment>
    <comment ref="F826" authorId="14" shapeId="0" xr:uid="{00000000-0006-0000-0300-00000F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NO ORSE FALA 1, MAS COMO NO SINAPI TEM O KIT COM A CAIXA E A TOMADA EU COLOQUEI 0,5 PRA CADA</t>
        </r>
      </text>
    </comment>
    <comment ref="C1092" authorId="15" shapeId="0" xr:uid="{00000000-0006-0000-0300-000010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https://www.cec.com.br/ferragens/pregos-parafusos-e-buchas/parafuso/parafuso-maquina-para-metal-1/4x21/2-com-4-pecas?produto=1357827</t>
        </r>
      </text>
    </comment>
    <comment ref="C1103" authorId="16" shapeId="0" xr:uid="{00000000-0006-0000-0300-000011000000}">
      <text>
        <r>
          <rPr>
            <sz val="11"/>
            <color theme="1"/>
            <rFont val="Calibri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https://www.cec.com.br/ferragens/pregos-parafusos-e-buchas/parafuso/parafuso-maquina-para-metal-1/4x21/2-com-4-pecas?produto=1357827</t>
        </r>
      </text>
    </comment>
  </commentList>
</comments>
</file>

<file path=xl/sharedStrings.xml><?xml version="1.0" encoding="utf-8"?>
<sst xmlns="http://schemas.openxmlformats.org/spreadsheetml/2006/main" count="7845" uniqueCount="1750">
  <si>
    <t>M2</t>
  </si>
  <si>
    <t>M3</t>
  </si>
  <si>
    <t>UN</t>
  </si>
  <si>
    <t>M</t>
  </si>
  <si>
    <t>Calhas e rufos</t>
  </si>
  <si>
    <t>Regularização e nivelamento</t>
  </si>
  <si>
    <t>Portas de madeira</t>
  </si>
  <si>
    <t>Esquadrias de alumínio</t>
  </si>
  <si>
    <t>Ítem</t>
  </si>
  <si>
    <t>Serviço</t>
  </si>
  <si>
    <t>Unid</t>
  </si>
  <si>
    <t>Quant</t>
  </si>
  <si>
    <t>Custo Unit</t>
  </si>
  <si>
    <t>Custo Total</t>
  </si>
  <si>
    <t>FUNDAÇÃO</t>
  </si>
  <si>
    <t>COBERTURA</t>
  </si>
  <si>
    <t>REVESTIMENTO INTERNO DE TETOS</t>
  </si>
  <si>
    <t>REVESTIMENTO EXTERNO</t>
  </si>
  <si>
    <t>PISOS E ARREMATES INTERNOS</t>
  </si>
  <si>
    <t>LIMPEZA</t>
  </si>
  <si>
    <t>TOTAL CUSTOS DIRETOS</t>
  </si>
  <si>
    <t>TAXA DE BDI</t>
  </si>
  <si>
    <t xml:space="preserve">TOTAL GERAL </t>
  </si>
  <si>
    <t>ESQUADRIAS DE MADEIRA</t>
  </si>
  <si>
    <t>VIDROS</t>
  </si>
  <si>
    <t>1.1</t>
  </si>
  <si>
    <t>2.1</t>
  </si>
  <si>
    <t>3.1</t>
  </si>
  <si>
    <t>4.1</t>
  </si>
  <si>
    <t>4.2</t>
  </si>
  <si>
    <t>5.1</t>
  </si>
  <si>
    <t>5.2</t>
  </si>
  <si>
    <t>5.3</t>
  </si>
  <si>
    <t>6.1</t>
  </si>
  <si>
    <t>7.1</t>
  </si>
  <si>
    <t>8.1</t>
  </si>
  <si>
    <t>9.1</t>
  </si>
  <si>
    <t>10.1</t>
  </si>
  <si>
    <t>11.1</t>
  </si>
  <si>
    <t>12.1</t>
  </si>
  <si>
    <t>15.1</t>
  </si>
  <si>
    <t>16.1</t>
  </si>
  <si>
    <t>8.2</t>
  </si>
  <si>
    <t>8.3</t>
  </si>
  <si>
    <t>10.2</t>
  </si>
  <si>
    <t>14.1</t>
  </si>
  <si>
    <t>14.2</t>
  </si>
  <si>
    <t>13.1</t>
  </si>
  <si>
    <t>14.3</t>
  </si>
  <si>
    <t>15.2</t>
  </si>
  <si>
    <t>% em funçao do custo global</t>
  </si>
  <si>
    <t>SERVIÇOS PRELIMINARES - INSTALAÇÕES DA OBRA</t>
  </si>
  <si>
    <t>Trabalhos em Terra</t>
  </si>
  <si>
    <t>Desmatamento e limpeza mecanizada do terreno</t>
  </si>
  <si>
    <t>1.2</t>
  </si>
  <si>
    <t>1.2.1</t>
  </si>
  <si>
    <t>Locação da obra</t>
  </si>
  <si>
    <t>-</t>
  </si>
  <si>
    <t>Radier em Concreto Armado</t>
  </si>
  <si>
    <t>Kg</t>
  </si>
  <si>
    <t>4.3</t>
  </si>
  <si>
    <t xml:space="preserve">Platibandas </t>
  </si>
  <si>
    <t>Paredes</t>
  </si>
  <si>
    <t>Lajes</t>
  </si>
  <si>
    <t>KG</t>
  </si>
  <si>
    <t>4.4</t>
  </si>
  <si>
    <t>Escadas</t>
  </si>
  <si>
    <t>Telhas - Fibrocimento</t>
  </si>
  <si>
    <t>IMPERMEABILIZAÇÃO</t>
  </si>
  <si>
    <t>Impermeabilização de fundações</t>
  </si>
  <si>
    <t>Impermeabilização de sanitários</t>
  </si>
  <si>
    <t>ESQUADRIAS - outras</t>
  </si>
  <si>
    <t>7.2</t>
  </si>
  <si>
    <t>7.3</t>
  </si>
  <si>
    <t>7.4</t>
  </si>
  <si>
    <t>REVESTIMENTO INTERNO DE PAREDES</t>
  </si>
  <si>
    <t>Pintura interna dos apartamento e hall de entrada</t>
  </si>
  <si>
    <t>Cerâmicas em áreas molhadas</t>
  </si>
  <si>
    <t>Gesso para teto dos apartamentos</t>
  </si>
  <si>
    <t>Forro em gesso (banheiros e halls de entrada)</t>
  </si>
  <si>
    <t>9.2</t>
  </si>
  <si>
    <t>9.3</t>
  </si>
  <si>
    <t>Emassamento de fachadas - paredes e platibandas</t>
  </si>
  <si>
    <t>Pintura texturizada de fachadas - paredes e platibandas</t>
  </si>
  <si>
    <t>Portas de alumínio</t>
  </si>
  <si>
    <t>Pintura de portas de madeira</t>
  </si>
  <si>
    <t>Janela de alumínio padronizada, colocação e acabamento, de correr, com duas folhas e vidro (1,00x1,20m)</t>
  </si>
  <si>
    <t>Janela de alumínio sob encomenda, colocação e acabamento, fixa, com contramarcos (1,00x2,00m)</t>
  </si>
  <si>
    <t>12.2</t>
  </si>
  <si>
    <t>12.3</t>
  </si>
  <si>
    <t>Vidros para janelas com estrutura de alumínio</t>
  </si>
  <si>
    <t>INSTALAÇÕES</t>
  </si>
  <si>
    <t>Instalações de gás</t>
  </si>
  <si>
    <t>VB</t>
  </si>
  <si>
    <t>Instalações SPDA</t>
  </si>
  <si>
    <t>Instalações elétricas</t>
  </si>
  <si>
    <t>Instalações telefônicas, TV, internet e interfone</t>
  </si>
  <si>
    <t>14.4</t>
  </si>
  <si>
    <t>14.5</t>
  </si>
  <si>
    <t>14.6</t>
  </si>
  <si>
    <t>LOUÇAS E METAIS</t>
  </si>
  <si>
    <t>Limpeza final da obra</t>
  </si>
  <si>
    <t>ESTRUTURA - SISTEMA DE PAREDE DE CONCRETO</t>
  </si>
  <si>
    <t>Peitoris</t>
  </si>
  <si>
    <t>Componentes de ferro</t>
  </si>
  <si>
    <t>MURO EXTERNO - CONDOMÍNIO</t>
  </si>
  <si>
    <t>Cozinha e área de serviço</t>
  </si>
  <si>
    <t>Sanitários</t>
  </si>
  <si>
    <r>
      <rPr>
        <b/>
        <sz val="9"/>
        <rFont val="Arial"/>
        <family val="2"/>
      </rPr>
      <t>Estrutura de</t>
    </r>
    <r>
      <rPr>
        <b/>
        <sz val="9"/>
        <color theme="1"/>
        <rFont val="Arial"/>
        <family val="2"/>
      </rPr>
      <t xml:space="preserve"> madeira</t>
    </r>
  </si>
  <si>
    <t>Muro externo do condomínio em bloco de concreto</t>
  </si>
  <si>
    <t>Pisos</t>
  </si>
  <si>
    <t>Rodapés, soleiras e filetes</t>
  </si>
  <si>
    <t>Janela de alumínio sob encomenda, colocação e acabamento, fixa, com contramarcos (0,40x0,40m)</t>
  </si>
  <si>
    <t>Pintura de tetos e forros dos apartamentos</t>
  </si>
  <si>
    <t>Instalações hidrossanitarias</t>
  </si>
  <si>
    <t>Instalações de combate a incêndio</t>
  </si>
  <si>
    <t>Para 10 prédios de 5 andares cada e 4 apartamentos por andar</t>
  </si>
  <si>
    <t>m²</t>
  </si>
  <si>
    <t xml:space="preserve">Instalação de central de gás </t>
  </si>
  <si>
    <t xml:space="preserve">Fornecimento/instalacao lona plastica preta, para impermeabilizacao, espessura 150 micras.	</t>
  </si>
  <si>
    <t>1.1.1 - Desmatamento e limpeza mecanizada do terreno</t>
  </si>
  <si>
    <t>Código</t>
  </si>
  <si>
    <t>Descrição</t>
  </si>
  <si>
    <t>Un.</t>
  </si>
  <si>
    <t>Clas.</t>
  </si>
  <si>
    <t>Qtd/Coef.</t>
  </si>
  <si>
    <t>Preço Unit.(R$)</t>
  </si>
  <si>
    <t>Preço Total(R$)</t>
  </si>
  <si>
    <t>SERV.</t>
  </si>
  <si>
    <t>EQ.</t>
  </si>
  <si>
    <t>Fonte</t>
  </si>
  <si>
    <t>TCPO</t>
  </si>
  <si>
    <t>1.1.2 - Escavações manuais em solo para radier (prof= 30cm)</t>
  </si>
  <si>
    <t xml:space="preserve">02315.8.2.1 </t>
  </si>
  <si>
    <t>ESCAVAÇÃO MANUAL em campo aberto em solo de 1° categoria</t>
  </si>
  <si>
    <t>m³</t>
  </si>
  <si>
    <t xml:space="preserve">01270.0.45.1 </t>
  </si>
  <si>
    <t>Servente</t>
  </si>
  <si>
    <t>h</t>
  </si>
  <si>
    <t>M. O.</t>
  </si>
  <si>
    <t>2.1.1 - Muro de fechamento em alvenaria de bloco de concreto 14x19x39 (h= 1,80m), assentado sobre sapata corrida</t>
  </si>
  <si>
    <t>02821.8.2.1</t>
  </si>
  <si>
    <t>MURO divisório com bloco de concreto 14 cm x 19 cm x 39 cm,
e = 14 cm, altura 1,80 m, assentado sobre sapata corrida com argamassa mista de
cimento, cal hidratada e areia sem peneirar traço 1:0,5:8</t>
  </si>
  <si>
    <t>m</t>
  </si>
  <si>
    <t>01270.0.1.10</t>
  </si>
  <si>
    <t xml:space="preserve">Ajudante de armador </t>
  </si>
  <si>
    <t xml:space="preserve">012700.1.11 </t>
  </si>
  <si>
    <t>Ajudante de carpinteiro</t>
  </si>
  <si>
    <t xml:space="preserve">01270.0.19.1 </t>
  </si>
  <si>
    <t>Carpinteiro</t>
  </si>
  <si>
    <t xml:space="preserve">01270.0.25.1 </t>
  </si>
  <si>
    <t>Armador</t>
  </si>
  <si>
    <t xml:space="preserve">01270.0.40.1 </t>
  </si>
  <si>
    <t>Pedreiro</t>
  </si>
  <si>
    <t>01270.0.45.1</t>
  </si>
  <si>
    <t>Total de mão de obra com encargos sociais</t>
  </si>
  <si>
    <t>%</t>
  </si>
  <si>
    <t xml:space="preserve">020603.2.2 </t>
  </si>
  <si>
    <t>Areia lavada tipo média</t>
  </si>
  <si>
    <t>MAT.</t>
  </si>
  <si>
    <t xml:space="preserve">0206033.1 </t>
  </si>
  <si>
    <t>Pedra britada 1</t>
  </si>
  <si>
    <t xml:space="preserve">0206033.2 </t>
  </si>
  <si>
    <t>Pedra britada 2</t>
  </si>
  <si>
    <t>020603.6.1</t>
  </si>
  <si>
    <t>Pedrisco</t>
  </si>
  <si>
    <t xml:space="preserve">0206533.1 </t>
  </si>
  <si>
    <t xml:space="preserve">Cal hidratada CH III </t>
  </si>
  <si>
    <t>kg</t>
  </si>
  <si>
    <t xml:space="preserve">0206535.1 </t>
  </si>
  <si>
    <t>Cimento Portland CP II-E-32 (res»stênaa: 32,00 MPA)</t>
  </si>
  <si>
    <t xml:space="preserve">031253.1.1 </t>
  </si>
  <si>
    <t xml:space="preserve">Desmoldante de fôrmas para concreto </t>
  </si>
  <si>
    <t>l</t>
  </si>
  <si>
    <t xml:space="preserve">032103.1.4 </t>
  </si>
  <si>
    <t xml:space="preserve">Barra de aço CA-251/4" (bitola: o,3U mm / massa
linear: 0,245 kg/m) </t>
  </si>
  <si>
    <t xml:space="preserve">0321033.2 </t>
  </si>
  <si>
    <t xml:space="preserve">Barra de aço CA-50 3/8" (bitola: 10,00 mm / massa
linear: 0,617 kg/m) </t>
  </si>
  <si>
    <t xml:space="preserve">042213.2.4 </t>
  </si>
  <si>
    <t>Bloco de concreto de vedação - bloco inteiro 14 x 19 x 3)
(comprimento: 390 mm / largura: 140 mm / altura: 190 mm</t>
  </si>
  <si>
    <t xml:space="preserve">050603.20.6 </t>
  </si>
  <si>
    <t xml:space="preserve">Prego 18 x 27 com cabeça (diâmetro da cabeça: 3.4 mm
/ comprimento: 62,1 mm) </t>
  </si>
  <si>
    <t xml:space="preserve">0506033.1 </t>
  </si>
  <si>
    <t>Arame recozido (diâmetro do fio: 1.25 mm / bitola: 18 B'.VG</t>
  </si>
  <si>
    <t xml:space="preserve">050673.2.1 </t>
  </si>
  <si>
    <t>Pontalete 3* construção (seção transversal:
3" x 3" / tipo de madeira: cedro)</t>
  </si>
  <si>
    <t xml:space="preserve">060623.4.3 </t>
  </si>
  <si>
    <t>Sarrafo 1" x 4" (aíura: 100 mm / espessura: 25 mm)</t>
  </si>
  <si>
    <t xml:space="preserve">06062.3.5.5 </t>
  </si>
  <si>
    <t xml:space="preserve">Tábua 1" x 12" (espessura: 25 mm / largura: 300 mm) </t>
  </si>
  <si>
    <t>3.1.1 - Fôrma com chapa compensada plastificada para pilares/vigas/lajes (e= 12mm) - 12 aproveitamentos</t>
  </si>
  <si>
    <t>FÔRMA feita em obra para LAJES, com chapa compensada
plastificada, e=1 2 mm</t>
  </si>
  <si>
    <t>03110.8.41.1</t>
  </si>
  <si>
    <t>Fabricação de fôrma feita em obra para lajes, com chapa compensada plastificada, e 12 mm</t>
  </si>
  <si>
    <t xml:space="preserve">03110.8.34.1 </t>
  </si>
  <si>
    <t>Montagem de fôrma feita em obra para lajes, com chapa compensada plastificada, e=12 mm</t>
  </si>
  <si>
    <t>03110.8.35.1</t>
  </si>
  <si>
    <t>Desmontagem de fôrma feita em obra para lajes, com chapa compensada plastificada, e-1 2 mm</t>
  </si>
  <si>
    <t>01270.0.1.11</t>
  </si>
  <si>
    <t xml:space="preserve">Ajudante de carpinteiro </t>
  </si>
  <si>
    <t xml:space="preserve">Carpinteiro </t>
  </si>
  <si>
    <t xml:space="preserve">03110.3.1.1 </t>
  </si>
  <si>
    <t xml:space="preserve">Chapa compensada plastificada (espessura: 12 mm) </t>
  </si>
  <si>
    <t xml:space="preserve">06062.3.2.4 </t>
  </si>
  <si>
    <t xml:space="preserve">Pontalete 3" x 3" (altura: 75,00 mm / largura: 75,00 mm) </t>
  </si>
  <si>
    <t>06062.3.5.18</t>
  </si>
  <si>
    <t xml:space="preserve">Tábua 1" x 8" (espessura: 25 mm / largura: 200 mm) </t>
  </si>
  <si>
    <t>03125.3.1.1</t>
  </si>
  <si>
    <t xml:space="preserve">05060.3.20.5 </t>
  </si>
  <si>
    <t>Prego 15 x 15 com cabeça (comprimento: 34,5 mm / diâmetro da cabeca: 2,4 mm)</t>
  </si>
  <si>
    <t xml:space="preserve">3.1.2 - Armadura tela de aço Q-92, malha 15X15cm, aço CA 60 </t>
  </si>
  <si>
    <t xml:space="preserve">03220.8.1.3 </t>
  </si>
  <si>
    <t xml:space="preserve">ARMADURA de tela de aço CA-60 - malha 15 cm x 15 cm </t>
  </si>
  <si>
    <t>Ajudante de armador</t>
  </si>
  <si>
    <t>012700.25.1</t>
  </si>
  <si>
    <t xml:space="preserve">Armador </t>
  </si>
  <si>
    <t xml:space="preserve">032203.1.44 </t>
  </si>
  <si>
    <t>Tela de aço CA-60 soldada tipo Q-92 (diâmetro do fio:
4,20 mm / dimensões da trama: 150 mm x 150 mm / tipo
da malha: quadrangular)</t>
  </si>
  <si>
    <t xml:space="preserve">Arame recozido (diâmetro do fio: 1.25 mm / bitola: 18 BWG) </t>
  </si>
  <si>
    <t>3.1.3 - Concreto estrutural dosado em central, fck 25 Mpa</t>
  </si>
  <si>
    <t>03310.8.2.6</t>
  </si>
  <si>
    <t xml:space="preserve">Concreto dosado em central
convencional brita l e 2 </t>
  </si>
  <si>
    <t>3.1.4 - Transporte, lançamento/aplicação, adensamento e acabamento do concreto em fundações</t>
  </si>
  <si>
    <t>03310.8.13.2</t>
  </si>
  <si>
    <t>TRANSPORTE, lançamento, adensamento e acabamento do
concreto em fundação - unidade: Mj</t>
  </si>
  <si>
    <t>01270.0.40.1</t>
  </si>
  <si>
    <t xml:space="preserve">Servente </t>
  </si>
  <si>
    <t xml:space="preserve">VIBRADOR de imersâo, elétrico, potência 1 HP
(0,75 kW)-vida útil 20.000 h </t>
  </si>
  <si>
    <t>h prod</t>
  </si>
  <si>
    <t>3.1.5 - Controle tecnológico do concreto</t>
  </si>
  <si>
    <t>4.1.1 - Fôrmas para paredes de concreto moldadas in loco em lajes</t>
  </si>
  <si>
    <t>Formas manuseáveis para paredes de concreto moldadas in loco, de edificações de multiplos pavimentos, em lajes. af_06/2015</t>
  </si>
  <si>
    <t>SINAPI</t>
  </si>
  <si>
    <t>4.1.2 - Armadura para sistema paredes de concreto, executada como armadura negativa de lajes, tela T-196, malha 30X10cm, aço CA 60</t>
  </si>
  <si>
    <t>1597/SINAPI</t>
  </si>
  <si>
    <t>88245/SINAPI</t>
  </si>
  <si>
    <t>00337/SINAPI</t>
  </si>
  <si>
    <t>Arame recozido 18 bwg, 1,25 mm (0,01 kg/m)</t>
  </si>
  <si>
    <t>39509/SINAPI</t>
  </si>
  <si>
    <t>Tela de aco soldada nervurada, ca-60, t-196, (2,11 kg/m2), diametro do fio = 5,0 mm, largura = 2,45 m, espacamento da malha = 30 x 10 cm</t>
  </si>
  <si>
    <t>39017/SINAPI</t>
  </si>
  <si>
    <t>Espacador / distanciador circular com entrada lateral, em plastico, para vergalhao *4,2 a 12,5* mm, cobrimento 20 mm</t>
  </si>
  <si>
    <t>4.1.3 - Armadura para sistema paredes de concreto, executada como armadura positiva de lajes, tela Q-113, malha 10X10cm, aço CA 60</t>
  </si>
  <si>
    <t>1598/SINAPI</t>
  </si>
  <si>
    <t>Armação do sistema de paredes de concreto, executada como armadura positiva de lajes, tela q-113. af_06/2019</t>
  </si>
  <si>
    <t>Tela de aco soldada nervurada, ca-60, q-113, (1,8 kg/m2), diametro do fio = 3,8 mm, largura = 2,45 m, espacamento da malha = 10 x 10 cm</t>
  </si>
  <si>
    <t>4.1.4 - Concreto estrutural dosado em central, fck 25 Mpa</t>
  </si>
  <si>
    <t>4.1.5 - Lançamento de concreto bombeado, adensamento e acabamento do concreto em estrutura</t>
  </si>
  <si>
    <t>Concretagem de edificações (paredes e lajes) feitas com sistema de fôrmas manuseáveis, com concreto usinado bombeável fck 25 mpa - lançamento, adensamento e acabamento (exclusive bomba lança). af_06/2015</t>
  </si>
  <si>
    <t>chp</t>
  </si>
  <si>
    <t>chi</t>
  </si>
  <si>
    <t>4.1.6 - Controle tecnológico do concreto</t>
  </si>
  <si>
    <t>4.2.1 - Fôrmas para paredes de concreto moldadas in loco em faces internas de paredes</t>
  </si>
  <si>
    <t>4.2.2 - Fôrmas para paredes de concreto moldadas in loco em panos de fachada com vãos</t>
  </si>
  <si>
    <t>4.2.3 - Fôrmas para paredes de concreto moldadas in loco em panos de fachada sem vãos</t>
  </si>
  <si>
    <t>4.2.4 - Armadura para sistema paredes de concreto, executada em paredes, tela Q-138, malha 10X10cm, aço CA 60</t>
  </si>
  <si>
    <t>4.2.5 - Concreto estrutural dosado em central, fck 25 Mpa</t>
  </si>
  <si>
    <t xml:space="preserve">Concreto dosado em central convencional brita l e 2 </t>
  </si>
  <si>
    <t>4.2.6 - Lançamento de concreto bombeado, adensamento e acabamento do concreto em estrutura</t>
  </si>
  <si>
    <t>4.2.7 - Controle tecnológico do concreto</t>
  </si>
  <si>
    <t>4.3.1 - Fôrmas para paredes de concreto moldadas in loco em platibandas</t>
  </si>
  <si>
    <t>90996/SINAPI</t>
  </si>
  <si>
    <t>4.3.2 - Armadura para sistema paredes de concreto, executada em platibandas, tela Q-92, malha 15X15cm, aço CA 60</t>
  </si>
  <si>
    <t>4.3.3 - Concreto estrutural dosado em central, fck 25 Mpa</t>
  </si>
  <si>
    <t>4.3.5 - Controle tecnológico do concreto</t>
  </si>
  <si>
    <t>dia</t>
  </si>
  <si>
    <t>4.4.1 - Escada pré-moldada de concreto armado</t>
  </si>
  <si>
    <t>4.4.3 - Transporte e içamento da escada pré-moldada com caminão Munck (guindalto)</t>
  </si>
  <si>
    <t>5.1.1 - Estrutura de madeira para telha ondulada de fibrocimento, apoiada ou ancorada em laje ou parede</t>
  </si>
  <si>
    <t xml:space="preserve">06110.8.3.4 </t>
  </si>
  <si>
    <t>ESTRUTURA de madeira para telha ondulada d e fibrocimento,
alumínio ou plástica, ancorada em laje ou parede</t>
  </si>
  <si>
    <t xml:space="preserve">01270.0.1.11 </t>
  </si>
  <si>
    <t>M.O.</t>
  </si>
  <si>
    <t>050603.20.6</t>
  </si>
  <si>
    <t xml:space="preserve">Prego 18 x 27 com cabeça (diâmetro da cabeça: 3.4 mm / comprimento: 62,1 mm) </t>
  </si>
  <si>
    <t>06C60.3.1.1</t>
  </si>
  <si>
    <t>Madeira (tipo de madeira: peroba)</t>
  </si>
  <si>
    <t>5.2.1 - Cobertura com telha de fibrocimento, uma água, perfil ondulado, e= 8mm, i= 18%</t>
  </si>
  <si>
    <t xml:space="preserve">07320.8.5.4 </t>
  </si>
  <si>
    <t>COBERTURA com telha de fibrocimento, uma água, perfil
ondulado, e = 8 mm, altura 111 mm, largura útil 500 mm e largura nominal
605 mm, inclinação 18%</t>
  </si>
  <si>
    <t>01270.0.1.20</t>
  </si>
  <si>
    <t xml:space="preserve">Ajudante de telhadista </t>
  </si>
  <si>
    <t xml:space="preserve">01270-0.48.1 </t>
  </si>
  <si>
    <t>Telhadista</t>
  </si>
  <si>
    <t>05060.3.31.7</t>
  </si>
  <si>
    <t xml:space="preserve">Parafuso com rosca soberba galvanizado (comprimento: 165,00 mm / diâmetro nominal: 8,00 mm) </t>
  </si>
  <si>
    <t>07320.3.11.5</t>
  </si>
  <si>
    <t xml:space="preserve">Telha de fibrocimento estrutural - tipo modulada e onda 50 (espessura: 8,0 mm / largura útil: 500mm / largura nominal: 605 mm / vão livre: 3,00 m) </t>
  </si>
  <si>
    <t xml:space="preserve">07325.3.41 </t>
  </si>
  <si>
    <t xml:space="preserve">Calço plástico - para fixação de telha de fibrocimento tipo modulada e onda 50 </t>
  </si>
  <si>
    <t>07325.3.6.1</t>
  </si>
  <si>
    <t xml:space="preserve">Conjunto vedação elástica (diâmetro do furo: 800 mm) </t>
  </si>
  <si>
    <t xml:space="preserve">0735.3.8.4 </t>
  </si>
  <si>
    <t xml:space="preserve">Fixador de aba para telha de fibrocimento simples - modulada </t>
  </si>
  <si>
    <t>5.3.1 - Rufo em chapa de aço galvanizado nº 26 desenvolvimento 25cm</t>
  </si>
  <si>
    <t>07620.8.2.4</t>
  </si>
  <si>
    <t>Rufo em chapa de aço galvanizado nº 26</t>
  </si>
  <si>
    <t>01720 0.1 .20</t>
  </si>
  <si>
    <t xml:space="preserve">Telhadista </t>
  </si>
  <si>
    <t>05060.3.20.5</t>
  </si>
  <si>
    <t>Prego 15 x 15 com cabeça (comprimento: 34,5 mm / diâmetro da cabeça: 2,4 mm)</t>
  </si>
  <si>
    <t xml:space="preserve">07620.3.2.2 </t>
  </si>
  <si>
    <t>Rufo de chapa galvanizada (espessura: 0,50 mm / desenvolvimento: 250 mm / Chapa: 26)</t>
  </si>
  <si>
    <t>5.3.2 - Calha de chapa galvanizada nº 26 desenvolvimento 50cm</t>
  </si>
  <si>
    <t xml:space="preserve">07712.81.9 </t>
  </si>
  <si>
    <t>CALHA de chapa galvanizada n° 26</t>
  </si>
  <si>
    <t xml:space="preserve">01270.0.1.20 </t>
  </si>
  <si>
    <t xml:space="preserve">01270.0.48.1 </t>
  </si>
  <si>
    <t>05060.3.22.1</t>
  </si>
  <si>
    <t xml:space="preserve">Rebite de ferro zincado nº 8 (comprimento: 6,10 mm /diâmetro nominal: 3.00 mm) </t>
  </si>
  <si>
    <t>05090.3.1.1</t>
  </si>
  <si>
    <t xml:space="preserve">Estanho para solda 30 x 70 </t>
  </si>
  <si>
    <t xml:space="preserve">07712.3.2.7 </t>
  </si>
  <si>
    <t xml:space="preserve">Calha de chapa galvanizada (espessura: 0,50 mm / desenvolvimento: 400,00 mm/Chapa: 26) </t>
  </si>
  <si>
    <t>6.1.1 - Impermeabilização de piso em emulsão asfáltica</t>
  </si>
  <si>
    <t xml:space="preserve">07110.8.4.1 </t>
  </si>
  <si>
    <t>IMPERMEABILIZAÇÃO de piso com três demãos de emulsão asfáltica</t>
  </si>
  <si>
    <t>02065.3.9.2</t>
  </si>
  <si>
    <t xml:space="preserve">Emulsão asfáltica elastomérica </t>
  </si>
  <si>
    <t xml:space="preserve">h </t>
  </si>
  <si>
    <t>6.2.1 - Impermeabilização de sanitários com revestimento bicomponente semi flexível - Argamassa polimérica (piso, parede do box, e demais paredes até altura de 30cm)</t>
  </si>
  <si>
    <t>ORSE</t>
  </si>
  <si>
    <t>7.1.1 - Regularização sarrafeada de superfície do radier para revestimento de piso com argamassa de cimento e areia, traço 1:3, (e= 3cm)</t>
  </si>
  <si>
    <t>09605.8.1.3</t>
  </si>
  <si>
    <t xml:space="preserve">REGULARIZAÇÃO SARRAFEADA de base para revestimento de piso com argamassa de cimento e areia sem peneirar e= 3 cm </t>
  </si>
  <si>
    <t xml:space="preserve">02060.3.2.2 </t>
  </si>
  <si>
    <t>02065.3.5.1</t>
  </si>
  <si>
    <t xml:space="preserve">Cimento Portland CP II-E-32 (resistência: 32.00 MPa) </t>
  </si>
  <si>
    <t>7.1.2 - Contrapiso em argamassa pronta aplicado em áreas secas, aderido (e= 3cm)</t>
  </si>
  <si>
    <t>7.1.3 - Contrapiso em argamassa pronta aplicado em áreas molhadas, aderido (e= 3cm)</t>
  </si>
  <si>
    <t>7.2.1 - Piso em porcelanato polido 40x40cm, assentado com argamassa pré-fabricada de cimento colante</t>
  </si>
  <si>
    <t>09606.8.5.1</t>
  </si>
  <si>
    <t>PORCELANATO polido 40 x 40 cm, assentado com argamassa pré-fabricada de cimento colante - unidade: m7</t>
  </si>
  <si>
    <t xml:space="preserve">01270.0.30.1 </t>
  </si>
  <si>
    <t xml:space="preserve">Ladrilhista </t>
  </si>
  <si>
    <t xml:space="preserve">093103.5.14 </t>
  </si>
  <si>
    <t>Porcelanato polido (comprimento: 400 mm / espessura: 8,60 mm / largura: 400 mm)</t>
  </si>
  <si>
    <t xml:space="preserve">09705.3.2.12 </t>
  </si>
  <si>
    <t xml:space="preserve">Argamassa pré-fabricada de cimento colante para assentamento de peças cerâmicas tipo porcelanato </t>
  </si>
  <si>
    <t>7.2.2 - Rejuntamento de piso porcelamento com cimento branco, junta até 3mm</t>
  </si>
  <si>
    <t xml:space="preserve">09606.8.3.2 </t>
  </si>
  <si>
    <t xml:space="preserve">REJUNTAMENTO DE PISO cerâmico com cimento branco, para juntas de até 3 mm </t>
  </si>
  <si>
    <t>01270.0.15.1</t>
  </si>
  <si>
    <t>Azulejista</t>
  </si>
  <si>
    <t xml:space="preserve">02065.3.4.1 </t>
  </si>
  <si>
    <t xml:space="preserve">Cimento branco não estrutural </t>
  </si>
  <si>
    <t>7.3.1 -Rodapé em mármore branco assentado com argamassa pré-fabricada de cimento colante, altura de 7cm (áreas secas e hall de entrada)</t>
  </si>
  <si>
    <t>7.3.2 -Soleira de mármore branco de 15cm de largura, assentado com argamassa pré-fabricada de cimento colante</t>
  </si>
  <si>
    <t>09635.8.14.3</t>
  </si>
  <si>
    <t xml:space="preserve">SOLEIRA de mármore natural, assentado com argamassa préfabricada de cimento colante </t>
  </si>
  <si>
    <t xml:space="preserve">09380.6.12._ </t>
  </si>
  <si>
    <t xml:space="preserve">Soleira de mármore - colocada (espessura: 20,00 mm / cor: branco espírito santo) </t>
  </si>
  <si>
    <t xml:space="preserve">09705.3.2.10 </t>
  </si>
  <si>
    <t xml:space="preserve">Argamassa pré-fabricada de cimento colante para assentamento de mármore </t>
  </si>
  <si>
    <t>7.3.3 - Filete de banheiro em mármore branco</t>
  </si>
  <si>
    <t>7.4.1 - Peitoril de mármore branco, assentado com argamassa mista de cimento, cal hidratada e areia, traço 1:1:4 (largura= 15cm)</t>
  </si>
  <si>
    <t>092858.1.1</t>
  </si>
  <si>
    <t>PEITORIL de mármore natural, assentado com argamassa mista de cimento, cal hidratada e areia sem peneirar traço 1:1:4</t>
  </si>
  <si>
    <t>02060.3.2.2</t>
  </si>
  <si>
    <t>02065.3.2.1</t>
  </si>
  <si>
    <t xml:space="preserve">02065.3.5.1 </t>
  </si>
  <si>
    <t xml:space="preserve">Cimento Portland CP II-E-32 (resistência: 32,00 MPa) </t>
  </si>
  <si>
    <t xml:space="preserve">09285.6.18._ </t>
  </si>
  <si>
    <t xml:space="preserve">Peitoril de mármore - colocado (espessura: 20.00 mm) </t>
  </si>
  <si>
    <t>8.1.1 - Emassamento de parede interna com massa corrida à base de PVA com duas demãos</t>
  </si>
  <si>
    <t>09906.8.3.1</t>
  </si>
  <si>
    <t>EMASSAMENTO de parede interna com massa corrida à base de PVA com duas demãos, para pintura látex</t>
  </si>
  <si>
    <t>01270.0.1.19</t>
  </si>
  <si>
    <t xml:space="preserve">Ajudante de pintor </t>
  </si>
  <si>
    <t xml:space="preserve">01270.0.41.1 </t>
  </si>
  <si>
    <t xml:space="preserve">Pintor </t>
  </si>
  <si>
    <t>09906.3.5.2</t>
  </si>
  <si>
    <t>Massa corrida base PVA</t>
  </si>
  <si>
    <t xml:space="preserve">09910.3.30.1 </t>
  </si>
  <si>
    <t>Lixa para superfície madeira/massa grana 100</t>
  </si>
  <si>
    <t>8.2.1 - Revestimento de pintura texturizada em parede interna de alta camada, aplicado em rolo (hall de entrada)</t>
  </si>
  <si>
    <t>09940.8.1.1</t>
  </si>
  <si>
    <t xml:space="preserve">REVESTIMENTO texturizado em parede interna ou externa de alta camada </t>
  </si>
  <si>
    <t>Pintor</t>
  </si>
  <si>
    <t xml:space="preserve">09940.3.1._ </t>
  </si>
  <si>
    <t>8.2.2 -Pintura com tinta látex PVA em parede interna, com duas demãos (apartamentos)</t>
  </si>
  <si>
    <t>091153.12.1</t>
  </si>
  <si>
    <t xml:space="preserve">PINTURA COM TINTA LÁTEX PVA em parede interna, com duas demãos, sem massa corrida </t>
  </si>
  <si>
    <t>Ajudante de pintor</t>
  </si>
  <si>
    <t>09906.3.8.1</t>
  </si>
  <si>
    <t xml:space="preserve">Selador base PVA para pintura látex </t>
  </si>
  <si>
    <t>09910.3.30.1</t>
  </si>
  <si>
    <t xml:space="preserve">09910.3.7.4 </t>
  </si>
  <si>
    <t xml:space="preserve">Tinta látex PVA (tipo de acabamento: fosco) </t>
  </si>
  <si>
    <t>8.3.1 - Cerâmica comum em placa 40x40cm, assentada com argamassa pré-fabricada de cimento colante e rejuntamento com cimento branco (banheiros e cozinha)</t>
  </si>
  <si>
    <t>9.1.1 - Gesso aplicado em parede ou teto interno - desempenado</t>
  </si>
  <si>
    <t xml:space="preserve">09210.8.1.1 </t>
  </si>
  <si>
    <t>GESSO aplicado em parede ou teto interno - desempenado</t>
  </si>
  <si>
    <t>01270.0.26.1</t>
  </si>
  <si>
    <t xml:space="preserve">Gesseiro </t>
  </si>
  <si>
    <t>02065.3.7.1</t>
  </si>
  <si>
    <t xml:space="preserve">Gesso </t>
  </si>
  <si>
    <t>9.2.1 - 'Pintura com tinta látex PVA com duas demãos</t>
  </si>
  <si>
    <t>9.3.1 - Forro de gesso fixo com placa pré-moldada, encaixe macho-fêmea, e= 30mm</t>
  </si>
  <si>
    <t xml:space="preserve">09500.8.8.1 </t>
  </si>
  <si>
    <t xml:space="preserve">FORRO DE GESSO fixo monolítico com placa pré-moldada, encaixe macho-e-fêmea, e=3 0 mm </t>
  </si>
  <si>
    <t>09500.6.4.1</t>
  </si>
  <si>
    <t xml:space="preserve">Forro de gesso liso tipo bisotado encaixe macho-e-fémea (comprimento da placa: 60 cm / espessura: 30 mm / largura da placa: 60 cm) </t>
  </si>
  <si>
    <t>10.1.1 - Emassamento de parede externa com massa acrílica com duas demãos</t>
  </si>
  <si>
    <t xml:space="preserve">09906.8.2.1 </t>
  </si>
  <si>
    <t>EMASSAMENTO de parede externa com massa acrílica com duas demãos, para pintura látex</t>
  </si>
  <si>
    <t xml:space="preserve">01270.0.1.19 </t>
  </si>
  <si>
    <t>01270.0.41.1</t>
  </si>
  <si>
    <t xml:space="preserve">09906.3.4.1 </t>
  </si>
  <si>
    <t xml:space="preserve">Massa acrílica para pintura látex </t>
  </si>
  <si>
    <t xml:space="preserve">Lixa para superfície madeira/massa grana 100 </t>
  </si>
  <si>
    <t>10.2.1 - Textura acrílica em parede externa com uma demão</t>
  </si>
  <si>
    <t>09940.8.2.1</t>
  </si>
  <si>
    <t>TEXTURA acrílica em parede externa com jma demão</t>
  </si>
  <si>
    <t>09906.3.7.1</t>
  </si>
  <si>
    <t xml:space="preserve">Selador acrílico </t>
  </si>
  <si>
    <t>09940.3.3.1</t>
  </si>
  <si>
    <t xml:space="preserve">Textura acrílica </t>
  </si>
  <si>
    <t>11.1.1 - Porta interna de madeira, colocação e acabamento, uma folha com batente, guarnição e ferragem (0,70x2,10m)</t>
  </si>
  <si>
    <t xml:space="preserve">08210.8.3. 2 </t>
  </si>
  <si>
    <t>PORTA interna de madeira, colocação e acabamento, de uma folha com batente, guarnição e ferragem</t>
  </si>
  <si>
    <t>un.</t>
  </si>
  <si>
    <t xml:space="preserve">Pedreiro </t>
  </si>
  <si>
    <t>02060.3.2. 2</t>
  </si>
  <si>
    <t xml:space="preserve">Areia lavada tipo média </t>
  </si>
  <si>
    <t xml:space="preserve">02065.3.2.1 </t>
  </si>
  <si>
    <t>Cimento Portland CP II-E-32 (resistência: 32,00 MPa)</t>
  </si>
  <si>
    <t xml:space="preserve">05060.3.20.4 </t>
  </si>
  <si>
    <t xml:space="preserve">Prego 16 x 24 com cabeça (comprimento: 55,2 mm / diâmetro da cabeça: 2,7 mm) </t>
  </si>
  <si>
    <t xml:space="preserve">05060.3.24 .1 </t>
  </si>
  <si>
    <t xml:space="preserve">Parafuso madeira cabeça chata fenda simples - zincado branco (comprimento: 90 mm / diâmetro nominal: 6,10 mm) </t>
  </si>
  <si>
    <t xml:space="preserve">06062.3.8.2 </t>
  </si>
  <si>
    <t>Taco de madeira para instalação de portas e janelas (espessura: 15,00 mm / largura: 50,00 mm / altura: 60,00 mm / tipo de madeira: peroba)</t>
  </si>
  <si>
    <t>08210.3.1. 2</t>
  </si>
  <si>
    <t xml:space="preserve">Batente de madeira para perta de uma folha - vão de até 0,90 m x 2,10 m (espessura: 35,00 mm / largura: 140,00 mm / tipo de madeira: peroba / perímetro: 5,40 m) </t>
  </si>
  <si>
    <t xml:space="preserve">08210.3.2.1 </t>
  </si>
  <si>
    <t xml:space="preserve">Guarnição de madeira para porta uma folha - vão de até 0,90 m x 2,10m (tipo de madeira: peroba / largura: 50,00 mm/ espessura: 10,00 mm) </t>
  </si>
  <si>
    <t xml:space="preserve">08210.3.4._ </t>
  </si>
  <si>
    <t>Porta lisa de madeira encabeçada (espessura: 35 mm)</t>
  </si>
  <si>
    <t>08710.3.10.4</t>
  </si>
  <si>
    <t xml:space="preserve">Fechadura completa para porta interna em latâo (encaixe: 40 mm / extremidades testa e contratesta: retas / bpo de fechadura: gorge / tipo de guarnição: espelho / tipo de maçaneta: alavanca) </t>
  </si>
  <si>
    <t xml:space="preserve">08710.3.2.1 </t>
  </si>
  <si>
    <t>Dobradiça de ferro para porta - leve pino solto (largura: 21/2" / altura: 3")</t>
  </si>
  <si>
    <t>11.1.2 - Porta interna de madeira, colocação e acabamento, uma folha com batente, guarnição e ferragem (0,80x2,10m)</t>
  </si>
  <si>
    <t>08210.8.3. 3</t>
  </si>
  <si>
    <t>08210.3.4.3</t>
  </si>
  <si>
    <t xml:space="preserve">Porta lisa de madeira encabeçada (espessura: 35 mm / largura: 0,80 m/altura: 2,10 m / tipo de madeira: imbuia) </t>
  </si>
  <si>
    <t>Dobradiça de ferro para porta - leve pino solto (largura: 2 1/2" / altura: 3")</t>
  </si>
  <si>
    <t>11.1.3 -Porta externa de madeira, colocação e acabamento, uma folha com batente, guarnição e ferragem (0,90x2,10m)</t>
  </si>
  <si>
    <t>08210.8.1. 2</t>
  </si>
  <si>
    <t xml:space="preserve">PORTA externa de madeira, colocação e acabamento, de uma folha com batente, guarnição e ferragem </t>
  </si>
  <si>
    <t>082103.5._</t>
  </si>
  <si>
    <t xml:space="preserve">Porta almofadada de madeira duas faces - trabalhada (espessura: 35 mm) </t>
  </si>
  <si>
    <t xml:space="preserve">08710.3.9.4 </t>
  </si>
  <si>
    <t>Fechadura completa para porta externa em latão (encaixe: 40 mm / extremidades testa e contratesta: retas / tipo de fechadura: cilindro / tipo de guarnição: espelho / tipo de maçaneta: alavanca)</t>
  </si>
  <si>
    <t>11.2.1 - Pintura com verniz em esquadria de madeira, com 3 demãos</t>
  </si>
  <si>
    <t xml:space="preserve">09115.8.14.1 </t>
  </si>
  <si>
    <t xml:space="preserve">PINTURA COM VERNIZ em esquadria de madeira, com três demãos </t>
  </si>
  <si>
    <t xml:space="preserve">09906.3.10.1 </t>
  </si>
  <si>
    <t>Selador para madeira</t>
  </si>
  <si>
    <t>09910.3.12.1</t>
  </si>
  <si>
    <t>Aguarrás mineral</t>
  </si>
  <si>
    <t>Lixa para superfície madeira/massa grana 10</t>
  </si>
  <si>
    <t xml:space="preserve">09910.3.9.6 </t>
  </si>
  <si>
    <t xml:space="preserve">Verniz sintético </t>
  </si>
  <si>
    <t xml:space="preserve">09960.3.26.3 </t>
  </si>
  <si>
    <t xml:space="preserve">Solvente para produtos à base de nitrocelulose </t>
  </si>
  <si>
    <t>12.1.1 - Janela de alumínio padronizada, colocação e acabamento, maxim-ar, com uma seção e vidro (0,80x0,80m)</t>
  </si>
  <si>
    <t>08520.8.2.8</t>
  </si>
  <si>
    <t xml:space="preserve">JANELA de alumínio padronizada, colocação e acabamento,
maxim-ar, com uma seção, dimensões 0,80 m x 0,80 m, com vidro miniboreal </t>
  </si>
  <si>
    <t>08520.3.2.7</t>
  </si>
  <si>
    <t xml:space="preserve">Caixilho de alumínio padronizado maxim-ar, com uma seção: uma bandeira móvel, vidro miniboreal (largura: 0,S0 m / altura: 0,80 m) </t>
  </si>
  <si>
    <t>12.1.2 - Janela de alumínio padronizada, colocação e acabamento, de correr, com duas folhas e vidro (1,00x1,20m)</t>
  </si>
  <si>
    <t>08520.8.2.16</t>
  </si>
  <si>
    <t>JANELA de alumínio padronizada, colocação e acabamento, de correr, com duas folhas, dimensões 1,00 m x 1,20 m, com vidro liso</t>
  </si>
  <si>
    <t>08520.3.2.17</t>
  </si>
  <si>
    <t xml:space="preserve">Caixilho de alumínio padronizado de correr, sem bandeira, duas folhas: uma fixa e uma de correr, vidro liso (largura: 1,00 m / altura: 1,20 m) </t>
  </si>
  <si>
    <t>12.1.3 - Janela de alumínio padronizada, colocação e acabamento, de correr, com duas folhas e vidro (1,20x1,20m)</t>
  </si>
  <si>
    <t>08520.8.2.4</t>
  </si>
  <si>
    <t>JANELA de alumínio padronizada, colocação e acabamento, de correr, com duas folhas, dimensões 1,20 m x 1,20 m, com vidro liso</t>
  </si>
  <si>
    <t>08520.3.2.5</t>
  </si>
  <si>
    <t xml:space="preserve">Caixilho de alumínio padronizado de correr, sem bandeira, com duas folhas móveis, vidro liso (largura: 1,20 m / altura: 1.20 m) </t>
  </si>
  <si>
    <t>12.1.4 - Janela de alumínio sob encomenda, colocação e acabamento, fixa, com contramarcos (1,00x2,00m)</t>
  </si>
  <si>
    <t>08520.8.1.3</t>
  </si>
  <si>
    <t xml:space="preserve">JANELA de alumínio sob encomenda, co ocação e acabamento, fixa, com contramarcos </t>
  </si>
  <si>
    <t>08520.3.1.7</t>
  </si>
  <si>
    <t>Caixilho de alumínio sob encomenda fixo (tipo de acabamento: natural)</t>
  </si>
  <si>
    <t>12.1.5 - Janela de alumínio sob encomenda, colocação e acabamento, fixa, com contramarcos (0,40x0,40m)</t>
  </si>
  <si>
    <t>12.2.1 -Porta externa de alumínio de abrir tipo veneziana com guarnição e fixação (0,90x1,75m)</t>
  </si>
  <si>
    <t>310ml</t>
  </si>
  <si>
    <t>12.2.2 - Porta externa de alumínio de correr, colocação e acbamento com duas folhas (1,30x2,10m)</t>
  </si>
  <si>
    <t xml:space="preserve">O8120.8.1.1 </t>
  </si>
  <si>
    <t>PORTA de alumínio sob encomenda, de correr, colocação e acabamento com duas folhas</t>
  </si>
  <si>
    <t>08120.3.2.1</t>
  </si>
  <si>
    <t xml:space="preserve">Porta de alumínio de correr duas folhas (perfil: linha 25) </t>
  </si>
  <si>
    <t>12.3.1 - Corrimão tubular de ferro galvanizado (Ø= 2") para as escadas</t>
  </si>
  <si>
    <t>05520.8.3.1</t>
  </si>
  <si>
    <t xml:space="preserve">CORRIMÃO tubular de ferro galvanizado </t>
  </si>
  <si>
    <t>01270.0.1.8</t>
  </si>
  <si>
    <t>Ajudante de serralheiro</t>
  </si>
  <si>
    <t>01270. 0.44.1</t>
  </si>
  <si>
    <t xml:space="preserve">Serralheiro </t>
  </si>
  <si>
    <t xml:space="preserve">15134.3.9.7 </t>
  </si>
  <si>
    <t xml:space="preserve">Tubo de aço-carbono galvanizado sem costura (diâmetro da seçáo: 2" / schedule: 80) </t>
  </si>
  <si>
    <t>13.1.1 - Vidro cristal comum liso (e= 6mm) - para janelas 1,00x1,20m</t>
  </si>
  <si>
    <t>13.1.2 - Vidro cristal comum liso (e= 6mm) - para janelas 0,40x0,40m</t>
  </si>
  <si>
    <t>13.1.3 - Vidro temperado (e= 6mm) - para porta de correr 1,30x2,10m</t>
  </si>
  <si>
    <t xml:space="preserve">14.1.1 - Instalação de central de gás </t>
  </si>
  <si>
    <t>14.1.2 - Medidor de gás individual</t>
  </si>
  <si>
    <t>14.1.3 - Ponto de gás de cozinha com tubo cobre soldável para 02 botijões, registro ou regulador, exclusive botijões</t>
  </si>
  <si>
    <t>14.2.1 - Haste de aterramento 3/4 para spda - fornecimento e instalação</t>
  </si>
  <si>
    <t>haste de aterramento em aco com 3,00 m de comprimento e dn = 3/4", revestida com baixa camada de cobre, sem conector</t>
  </si>
  <si>
    <t>14.2.2 - Caixa de equipotencialização em aço 200x200x90mm, para embutir com tampa, com 9 terminais, ref:TEL-901 ou similar (SPDA)</t>
  </si>
  <si>
    <t>Eletricista</t>
  </si>
  <si>
    <t xml:space="preserve">ORSE </t>
  </si>
  <si>
    <t>14.2.3 - Base metálica para mastro 1 ½ para spda - fornecimento e instalação</t>
  </si>
  <si>
    <t>14.2.4 - Mastro 1 ½ para spda - fornecimento e instalação</t>
  </si>
  <si>
    <t>14.3.1 - 'Instalação de  interruptores e tomadas: Pial linha plus, Pame linha lounge ou Alumbra linha bari na cor branca</t>
  </si>
  <si>
    <t xml:space="preserve">14.3.2 - Ponto de iluminação residencial incluindo interruptor simples, caixa elétrica, eletroduto, cabo, rasgo, quebra e chumbamento (excluindo luminária e lâmpada). </t>
  </si>
  <si>
    <t xml:space="preserve">SINAPI </t>
  </si>
  <si>
    <t xml:space="preserve">14.3.3 - Ponto de tomada 2p+t de sobrepor, 10 A, de uso geral, ABNT, c/canaleta plastica 20x10mm,"Sistema X", inclusive aterramento </t>
  </si>
  <si>
    <t xml:space="preserve">14.3.4 - Ponto embutido cigarra campainha caixa 4" x 2" c/ eletroduto pvc rígido Ø 3/4" </t>
  </si>
  <si>
    <t xml:space="preserve">14.3.5 - Quadro de distribuição de embutir, em chapa de aço, para até 12 disjuntores, com barramento, padrão DIN, exclusive disjuntores </t>
  </si>
  <si>
    <t xml:space="preserve">14.3.6 - Módulo para 24 medidores com barramento, 1500 x 2600 x 200mm, em chapa de aço galvanizada pintada eletrostaticamente </t>
  </si>
  <si>
    <t>14.4.1 - Kit cavalete para medição de água - entrada individualizada, em pvc dn 25 (¾?), para 4 medidores ? fornecimento e instalação (exclusive hidrômetro)</t>
  </si>
  <si>
    <t xml:space="preserve">14.4.2 - Ponto de esgoto com tubo de pvc rígido soldável de Ø 40 mm (lavatórios, mictórios, ralos sifonados, etc...) </t>
  </si>
  <si>
    <t xml:space="preserve">14.4.3 - Ponto de esgoto com tubo de pvc rígido soldável de Ø 50 mm (pias de cozinha, máquinas de lavar, etc...) </t>
  </si>
  <si>
    <t xml:space="preserve">15152.8.29.2 </t>
  </si>
  <si>
    <t>PONTO de esgoto secundário, com tubo de PVC branco e conexões, Ø50 mm</t>
  </si>
  <si>
    <t xml:space="preserve">01270.0.1.14 </t>
  </si>
  <si>
    <t>Ajudante de encanador</t>
  </si>
  <si>
    <t xml:space="preserve">01270.024. 1 </t>
  </si>
  <si>
    <t xml:space="preserve">Encanador </t>
  </si>
  <si>
    <t>15152.3.13.1</t>
  </si>
  <si>
    <t>Joelho 90 PBV de PVC branco para esgoto série normal (diâmetro da seção: 50,00 mm)</t>
  </si>
  <si>
    <t xml:space="preserve">15152.3.15.5 </t>
  </si>
  <si>
    <t>Junção 45° PBV de PVC branco com redução para esgoto série normal (diâmetro de entrada: 100.00 mm 7 diâmetro de saída: 50,00 mm)</t>
  </si>
  <si>
    <t>15152.3.27.1</t>
  </si>
  <si>
    <t>Tê 90° PBV de PVC branco para esgoto série normal (diâmetro da seção: 50 mm)</t>
  </si>
  <si>
    <t xml:space="preserve">15152.3.29.1 </t>
  </si>
  <si>
    <t>Tubo PBV de PVC branco para esgoto série normal (diâmetro da seção: 50 mm)</t>
  </si>
  <si>
    <t>um</t>
  </si>
  <si>
    <t xml:space="preserve">14.4.4 - Ponto de esgoto com tubo de pvc rígido soldável de Ø 75 mm </t>
  </si>
  <si>
    <t xml:space="preserve">14.4.5 - Ponto de esgoto com tubo de pvc rígido soldável de Ø 100 mm (vaso sanitário) </t>
  </si>
  <si>
    <t>15152.8.29.1</t>
  </si>
  <si>
    <t>PONTO de esgoto primário, com tubo de PVC branco e conexões, ø100 mm</t>
  </si>
  <si>
    <t xml:space="preserve">Ajudante de encanador </t>
  </si>
  <si>
    <t>Encanador</t>
  </si>
  <si>
    <t>15152.3.13.3</t>
  </si>
  <si>
    <t xml:space="preserve">Joelho 90 PBV de PVC branco para esgoto série normal (diâmetro d3 seção: 100.00 mm) </t>
  </si>
  <si>
    <t xml:space="preserve">151573.15.6 </t>
  </si>
  <si>
    <t>Junção 45° PBV de PVC branco com redução para esgoto série normal (diâmetro de entrada: 100,00 mm 7 diâmetro de saída: 75.00 mm</t>
  </si>
  <si>
    <t xml:space="preserve">15152.3.27.3 </t>
  </si>
  <si>
    <t xml:space="preserve">Tè 90° PBV de PVC branco para esgoto série normal (diâmetro da seção: 100 mm) </t>
  </si>
  <si>
    <t xml:space="preserve">15152.3.29.2 </t>
  </si>
  <si>
    <t xml:space="preserve">Tubo PBV de PVC branco para esgoto série normal (diâmetro da seção: 100 mm) </t>
  </si>
  <si>
    <t xml:space="preserve">14.4.6 - Ponto de água fria embutido, c/material pvc rígido roscável Ø 3/4" </t>
  </si>
  <si>
    <t xml:space="preserve">14.4.7 - Ponto de água fria embutido, c/material pvc rígido soldável Ø 25mm </t>
  </si>
  <si>
    <t>15142.8.27.1</t>
  </si>
  <si>
    <t>15147311. 4</t>
  </si>
  <si>
    <t>Joelho 90:  soldável de PVC azul com bucha de latão com redução para água fna (diâmetro da arte soldável: 32,00 mm 7 diâmetro da parte rosqueável: 3/4")</t>
  </si>
  <si>
    <t>15142.3.13.3</t>
  </si>
  <si>
    <t xml:space="preserve">Joelho 90 soldável de PVC marrom com rosca para água fria (diâmetro da parte rosqueável: 3/4" / diâmetro da parle soldável: 25.00 mm) </t>
  </si>
  <si>
    <t>15142.3.20. 2</t>
  </si>
  <si>
    <t xml:space="preserve">Tè 90° soldável de PVC marrom com rosca na bolsa central para água fria (diâmetro da parte rosqueável: 3/4" / diâmetro da parte
soldável: 25 mm) </t>
  </si>
  <si>
    <t xml:space="preserve">15142.3.23. 2 </t>
  </si>
  <si>
    <t xml:space="preserve">Tubo soldável de PVC marrom para água fria (diâmetro da seção: 25 mm) </t>
  </si>
  <si>
    <t>14.4.8 - Hidrômetros</t>
  </si>
  <si>
    <t xml:space="preserve">14.5.1 - Ponto de telefone, com eletroduto de pvc rígido embutido Ø 3/4", inclusive fio trançado 2 x 22 </t>
  </si>
  <si>
    <t>16715.8.7.1</t>
  </si>
  <si>
    <t>PONTO de telefone - tubulação seca - 0 3/4"</t>
  </si>
  <si>
    <t>01270.0.1.13</t>
  </si>
  <si>
    <t xml:space="preserve">Ajudante de eletricista </t>
  </si>
  <si>
    <t xml:space="preserve">01270.0.22.1 </t>
  </si>
  <si>
    <t xml:space="preserve">16132.3.1.2 </t>
  </si>
  <si>
    <t xml:space="preserve">Curva 90º  de PVC rígido rosqueável para eletroduto (diâmetro da seção: 3/4") </t>
  </si>
  <si>
    <t>16132.3.3.2</t>
  </si>
  <si>
    <t>Eletroduto de PVC rígido rosqueável (diâmetro da seção: 3/4")</t>
  </si>
  <si>
    <t>16132.3.4.2</t>
  </si>
  <si>
    <t xml:space="preserve">Luva de PVC rígido rosqueável para eletroduto (diâmetro da seção: 3/4") </t>
  </si>
  <si>
    <t>16136.3.2.2</t>
  </si>
  <si>
    <t xml:space="preserve">Caixa "estampada em chapa de aço esmaltada de embutir 4" x 2" (formato da seção transversal: retangular / Chapa: 18) </t>
  </si>
  <si>
    <t>16143.3.4.12</t>
  </si>
  <si>
    <t>Tomada de embutir de telefone quatro pólos (padrão: Telebrás)</t>
  </si>
  <si>
    <t xml:space="preserve">fio trançado 2 x 22 </t>
  </si>
  <si>
    <t>ADAPTADO TCPO / ORSE</t>
  </si>
  <si>
    <t xml:space="preserve">14.5.2 - Ponto seco de tomada p/ lógica, com eletroduto pvc rígido embutido, Ø 3/4" </t>
  </si>
  <si>
    <t xml:space="preserve">14.5.3 - Ponto embutido tomada p/ tv a cabo, c/ eletroduto condulete pvc rígido Ø 3/4" s/ fiação, exclusive tomada </t>
  </si>
  <si>
    <t>14.6.1 - 'Caixa de incêndio 60x75x17cm - fornecimento e instalação</t>
  </si>
  <si>
    <t>14.6.2 - Extintor incendio tp po quimico 4kg fornecimento e colocacao</t>
  </si>
  <si>
    <t xml:space="preserve">13970.8.1.1 </t>
  </si>
  <si>
    <t xml:space="preserve">EXTINTOR de pó químico pressurizado, capacidade 4 kg </t>
  </si>
  <si>
    <t xml:space="preserve">05060.3.6.1 </t>
  </si>
  <si>
    <t xml:space="preserve">Bucha de náilon com parafuso auto-atarraxante cabeça panela, fenda simples (comprimento: 50,00 mm / diâmetro nominal do parafuso: 4.80 mm / diâmetro nominal da bucha: 8.00 mm) </t>
  </si>
  <si>
    <t xml:space="preserve">13970.3.1.1 </t>
  </si>
  <si>
    <t>Extintor com carga de pó químico (quantidade: 4,00 kg)</t>
  </si>
  <si>
    <t>14.6.3 - Placas de sinalizacao de seguranca contra incendio, fotoluminescente, quadrada, *20 x 20* cm, em pvc *2* mm anti-chamas (simbolos, cores e pictogramas conforme nbr 13434)</t>
  </si>
  <si>
    <t>H</t>
  </si>
  <si>
    <t>15.1.1 - Pia de cozinha - bancada, cuba simple e torneira</t>
  </si>
  <si>
    <t xml:space="preserve">15410.8.19.2 </t>
  </si>
  <si>
    <t>PIA de cozinha de aço inoxidável, cuba simples, 1,50 m x 0,54 m</t>
  </si>
  <si>
    <t>01270.0.1.14</t>
  </si>
  <si>
    <t xml:space="preserve">01270.0.24.1 </t>
  </si>
  <si>
    <t xml:space="preserve">15143.3.5.1 </t>
  </si>
  <si>
    <t xml:space="preserve">Fita de vedação para tubos e conexões rosqueáveis (largura: 18 mm) </t>
  </si>
  <si>
    <t>15155.3.11.4</t>
  </si>
  <si>
    <t>Sifáo metálico para pia americana (tipo de acabamento: cromado / diâmetro de entrada: 11/2" / diâmetro de saída: 2")</t>
  </si>
  <si>
    <t>15155.3.14.1</t>
  </si>
  <si>
    <t xml:space="preserve">Válvula de escoamento metálica para pia de cozinha (americana) (diâmetro de entrada: 3 1/2" / tipo de acabamento: cromado) </t>
  </si>
  <si>
    <t>15410.3.19.4</t>
  </si>
  <si>
    <t xml:space="preserve">Pia de aço inoxidável cuba simples (comprimento: 1,60 m / largura: 0,54 m) </t>
  </si>
  <si>
    <t>015410.3.30.1</t>
  </si>
  <si>
    <t xml:space="preserve">Torneira de pressão para pia longa de parede - padráo popular </t>
  </si>
  <si>
    <t>ADAPTADO DO TCPO</t>
  </si>
  <si>
    <t>15.1.2 - Tanque de mámore sintético 22L, com torneira e sifão</t>
  </si>
  <si>
    <t>15.2.1 - Lavatório de louça, torneira e acessórios</t>
  </si>
  <si>
    <t xml:space="preserve">15410.8.14.3 </t>
  </si>
  <si>
    <t>LAVATÓRIO de louça, sem coluna, com torneira de pressão e acessórios</t>
  </si>
  <si>
    <t xml:space="preserve">05060.3.12.1 </t>
  </si>
  <si>
    <t xml:space="preserve">Parafuso cromado (comprimento: 21/2" / diâmetro nominal: 1/4") </t>
  </si>
  <si>
    <t xml:space="preserve">05060.3.5.6 </t>
  </si>
  <si>
    <t xml:space="preserve">Bucha de náilon para fixação de parafusos/pregos em alvenaria (diâmetro nominal da bucha: 8,00 mir) </t>
  </si>
  <si>
    <t>15155.3.11.3</t>
  </si>
  <si>
    <t xml:space="preserve">Sifão metálico para lavatóno (tipo cte acabamento: cromado / diâmetro de entrada: 1" / diâmetro de saída: 11/2") </t>
  </si>
  <si>
    <t>15155.3.14.2</t>
  </si>
  <si>
    <t>Válvula de escoamento metálica para lavatõrio / bidê (diâmetro de entrada: 1")</t>
  </si>
  <si>
    <t xml:space="preserve">15410.3.11.2 </t>
  </si>
  <si>
    <t xml:space="preserve">Engate flexível de PVC para entrada de água (comprimento: 300.00 mm / diâmetro da seção: 1/2") </t>
  </si>
  <si>
    <t>15410.3.14.3</t>
  </si>
  <si>
    <t xml:space="preserve">Laratório de louça suspenso - padrão popular </t>
  </si>
  <si>
    <t>15410.3.29.1</t>
  </si>
  <si>
    <t>Torneira de pressão para lavatõrio de mesa - padrão médio</t>
  </si>
  <si>
    <t>15.2.2 - Bacia de louça com caixa acoplada, com tampa e acessórios</t>
  </si>
  <si>
    <t>15410.8.3.2</t>
  </si>
  <si>
    <t>BACIA de louça com caixa acoplada, com taripa e acessórios</t>
  </si>
  <si>
    <t>0127001.14</t>
  </si>
  <si>
    <t>05060.3.12.1</t>
  </si>
  <si>
    <t xml:space="preserve">087703.13.1 </t>
  </si>
  <si>
    <t xml:space="preserve">Massa para vidro comum </t>
  </si>
  <si>
    <t xml:space="preserve">Bucha de náilon para fixação de parafusos/pregos em alvenaria (diâmetro nominal da bucha: 8.00 mm) </t>
  </si>
  <si>
    <t xml:space="preserve">15152.3.13.3 </t>
  </si>
  <si>
    <t>Joelho 90 PBV de PVC branco para esgoto série normal (diâmetro da seção: 100,00 mm)</t>
  </si>
  <si>
    <t>15410.3.11.2</t>
  </si>
  <si>
    <t>Engate flexível de PVC para entrada de água (comprimento: 300,00 mm / diâmetro da seção: 1/2")</t>
  </si>
  <si>
    <t xml:space="preserve">154103.22.1 </t>
  </si>
  <si>
    <t>Assento plástico para bacia - padrão popular</t>
  </si>
  <si>
    <t xml:space="preserve">15.3.1 - Chuveiro </t>
  </si>
  <si>
    <t xml:space="preserve">15410.8.11.1 </t>
  </si>
  <si>
    <t>CHUVEIRO-DUCHA metálico</t>
  </si>
  <si>
    <t>Fita de vedação para tubos e conexões rosqueáveis (largura: 18 mm)</t>
  </si>
  <si>
    <t>15410.3.54.1</t>
  </si>
  <si>
    <t xml:space="preserve">Chuveiro ducha (bitola: 1/2" / tipo de
acabamento: cromado) </t>
  </si>
  <si>
    <t>16..1.1 - Limpeza geral da edificação (contabilizado por apartamento)</t>
  </si>
  <si>
    <t>Ol740.8.1.1</t>
  </si>
  <si>
    <t>LIMPEZA geral da edificação</t>
  </si>
  <si>
    <t xml:space="preserve">88262/SINAPI	</t>
  </si>
  <si>
    <t xml:space="preserve">88316/SINAPI	</t>
  </si>
  <si>
    <t xml:space="preserve">39397/SINAPI	</t>
  </si>
  <si>
    <t xml:space="preserve">Desmoldante para formas metalicas a base de oleo vegetal	</t>
  </si>
  <si>
    <t xml:space="preserve">39965/SINAPI	</t>
  </si>
  <si>
    <t xml:space="preserve">Sistema de formas manuseaveis de aluminio, para bloco resid. com paredes de concreto moldadas in loco, bloco com 4 pav.e 4 unidades por pav., unidade habitacionalcom 48 m2 e 2 quartos; telha de fibrocimento (coletado caixa)	</t>
  </si>
  <si>
    <t xml:space="preserve">	Armação do sistema de paredes de concreto, executada como armadura negativa de lajes, tela t-196. af_06/2019</t>
  </si>
  <si>
    <t xml:space="preserve">	88238/SINAPI</t>
  </si>
  <si>
    <t xml:space="preserve">	39507/SINAPI</t>
  </si>
  <si>
    <t xml:space="preserve">39017/SINAPI	</t>
  </si>
  <si>
    <t xml:space="preserve">99439/SINAPI	</t>
  </si>
  <si>
    <t xml:space="preserve">88309/SINAPI	</t>
  </si>
  <si>
    <t xml:space="preserve">38408/SINAPI	</t>
  </si>
  <si>
    <t xml:space="preserve">Concreto usinado bombeavel, classe de resistencia c25, com brita 0 e 1, slump = 190 +/- 20 mm, exclui servico de bombeamento (nbr 8953)	</t>
  </si>
  <si>
    <t xml:space="preserve">90586/SINAPI	</t>
  </si>
  <si>
    <t xml:space="preserve">Vibrador de imersão, diâmetro de ponteira 45mm, motor elétrico trifásico potência de 2 cv - chp diurno. af_06/2015	</t>
  </si>
  <si>
    <t xml:space="preserve">90587/SINAPI	</t>
  </si>
  <si>
    <t xml:space="preserve">Vibrador de imersão, diâmetro de ponteira 45mm, motor elétrico trifásico potência de 2 cv - chi diurno. af_06/2015	</t>
  </si>
  <si>
    <t xml:space="preserve">90997/SINAPI	</t>
  </si>
  <si>
    <t xml:space="preserve">Formas manuseáveis para paredes de concreto moldadas in loco, de edificações de multiplos pavimentos, em faces internas de paredes. af_06/2015	</t>
  </si>
  <si>
    <t xml:space="preserve">91000/SINAPI	</t>
  </si>
  <si>
    <t xml:space="preserve">Formas manuseáveis para paredes de concreto moldadas in loco, de edificações de multiplos pavimentos, em panos de fachada com vãos. af_06/2015	</t>
  </si>
  <si>
    <t xml:space="preserve">91596/SINAPI	</t>
  </si>
  <si>
    <t xml:space="preserve">Armação do sistema de paredes de concreto, executada como armadura positiva de lajes, tela q-138. af_06/2019	</t>
  </si>
  <si>
    <t xml:space="preserve">88238/SINAPI	</t>
  </si>
  <si>
    <t xml:space="preserve">88245/SINAPI	</t>
  </si>
  <si>
    <t xml:space="preserve">Espacador / distanciador circular com entrada lateral, em plastico, para vergalhao *4,2 a 12,5* mm, cobrimento 20 mm	</t>
  </si>
  <si>
    <t xml:space="preserve">07155/SINAPI	</t>
  </si>
  <si>
    <t xml:space="preserve">Tela de aco soldada nervurada ca-60, q-138, (2,20 kg/m2), diametro do fio = 4,2 mm, largura = 2,45 x 120 m de comprimento, espacamento da malha = 10 x 10 cm	</t>
  </si>
  <si>
    <t xml:space="preserve">00337/SINAPI	</t>
  </si>
  <si>
    <t xml:space="preserve">Arame recozido 18 bwg, 1,25 mm (0,01 kg/m)	</t>
  </si>
  <si>
    <t xml:space="preserve">Formas manuseáveis para paredes de concreto moldadas in loco, de edificações de multiplos pavimento, em platibanda. af_06/2015	</t>
  </si>
  <si>
    <t xml:space="preserve">91594/SINAPI	</t>
  </si>
  <si>
    <t xml:space="preserve">Armação do sistema de paredes de concreto, executada em paredes de edificações térreas ou de múltiplos pavimentos, tela q-92. af_06/2019	</t>
  </si>
  <si>
    <t xml:space="preserve">21141/SINAPI	</t>
  </si>
  <si>
    <t xml:space="preserve">Tela de aco soldada nervurada ca-60, q-92, (1,48 kg/m2), diametro do fio = 4,2 mm, largura = 2,45 x 60 m de comprimento, espacamento da malha = 15 x 15 cm	</t>
  </si>
  <si>
    <t xml:space="preserve">07191/ORSE	</t>
  </si>
  <si>
    <t xml:space="preserve">Controle tecnológico de concreto "com" moldagem de corpos de prova, distancia 31 a 60 km	</t>
  </si>
  <si>
    <t xml:space="preserve">Controle tecnológico de concreto "com" moldagem de corpos de prova, diária laboratorista até 8 hs, coleta corpos de prova e emissão de certificados, distancia 31 a 60 km, de segunda a sexta	</t>
  </si>
  <si>
    <t xml:space="preserve">6.1.2 - Fornecimento/instalacao lona plastica preta, para impermeabilizacao, espessura 150 micras.	</t>
  </si>
  <si>
    <t xml:space="preserve">68053/SINAPI	</t>
  </si>
  <si>
    <t xml:space="preserve">88270/SINAPI	</t>
  </si>
  <si>
    <t xml:space="preserve">03777/SINAPI	</t>
  </si>
  <si>
    <t xml:space="preserve">Lona plastica preta, e= 150 micra	</t>
  </si>
  <si>
    <t xml:space="preserve">09360/ORSE	</t>
  </si>
  <si>
    <t xml:space="preserve">Impermeabilização com aplicação de argamassa polimérica tipo Denvertec 100 ou similar	</t>
  </si>
  <si>
    <t xml:space="preserve">04750/SINAPI	</t>
  </si>
  <si>
    <t xml:space="preserve">06111/SINAPI	</t>
  </si>
  <si>
    <t xml:space="preserve">Servente de obras	</t>
  </si>
  <si>
    <t xml:space="preserve">09238/ORSE	</t>
  </si>
  <si>
    <t xml:space="preserve">Argamassa polimérica Denvertec 100 ou similar	</t>
  </si>
  <si>
    <t xml:space="preserve">87633/SINAPI	</t>
  </si>
  <si>
    <t xml:space="preserve">Contrapiso em argamassa pronta, preparo mecânico com misturador 300 kg, aplicado em áreas secas sobre laje, aderido, espessura 3cm. af_06/2014	</t>
  </si>
  <si>
    <t xml:space="preserve">01379/SINAPI	</t>
  </si>
  <si>
    <t xml:space="preserve">Cimento portland composto cp ii-32	</t>
  </si>
  <si>
    <t xml:space="preserve">07334/SINAPI	</t>
  </si>
  <si>
    <t xml:space="preserve">Aditivo adesivo liquido para argamassas de revestimentos cimenticios	</t>
  </si>
  <si>
    <t xml:space="preserve">87386/SINAPI	</t>
  </si>
  <si>
    <t xml:space="preserve">Argamassa pronta para contrapiso, preparo com misturador de eixo horizontal de 300 kg. af_08/2019	</t>
  </si>
  <si>
    <t xml:space="preserve">87749/SINAPI	</t>
  </si>
  <si>
    <t xml:space="preserve">Contrapiso em argamassa pronta, preparo manual, aplicado em áreas molhadas sobre laje, aderido, espessura 3cm. af_06/2014	</t>
  </si>
  <si>
    <t xml:space="preserve">87399/SINAPI	</t>
  </si>
  <si>
    <t xml:space="preserve">Argamassa pronta para contrapiso, preparo manual. af_08/2019	</t>
  </si>
  <si>
    <t xml:space="preserve">98697/SINAPI	</t>
  </si>
  <si>
    <t xml:space="preserve">Rodapé em mármore, altura 7 cm. af_06/2018	</t>
  </si>
  <si>
    <t xml:space="preserve">88274/SINAPI	</t>
  </si>
  <si>
    <t xml:space="preserve">04829/SINAPI	</t>
  </si>
  <si>
    <t xml:space="preserve">Rodape em marmore, polido, branco comum, l= *7* cm, e= *2*cm, corte reto	</t>
  </si>
  <si>
    <t xml:space="preserve">37595/SINAPI	</t>
  </si>
  <si>
    <t xml:space="preserve">Argamassa colante tipo aciii	</t>
  </si>
  <si>
    <t xml:space="preserve">34356/SINAPI	</t>
  </si>
  <si>
    <t xml:space="preserve">Rejunte branco, cimenticio	</t>
  </si>
  <si>
    <t xml:space="preserve">03156/ORSE	</t>
  </si>
  <si>
    <t xml:space="preserve">Filete de mármore branco, 2 cm, para acabamentos	</t>
  </si>
  <si>
    <t xml:space="preserve">02582/ORSE	</t>
  </si>
  <si>
    <t xml:space="preserve">Filete de mármore branco 2 x 2 cm	</t>
  </si>
  <si>
    <t xml:space="preserve">01903/ORSE	</t>
  </si>
  <si>
    <t xml:space="preserve">Argamassa cimento e areia traço t-1 (1:3) - 1 saco cimento 50kg / 3 padiolas areia dim. 0.35 x 0.45 x 0.23 m - Confecção mecânica e transporte	</t>
  </si>
  <si>
    <t xml:space="preserve">05011/ORSE	</t>
  </si>
  <si>
    <t xml:space="preserve">Assentamento de cerâmica	</t>
  </si>
  <si>
    <t xml:space="preserve">Pedreiro	</t>
  </si>
  <si>
    <t xml:space="preserve">02540/ORSE	</t>
  </si>
  <si>
    <t xml:space="preserve">Rejunte colorido flexivel para revestimentos cerâmicos	</t>
  </si>
  <si>
    <t xml:space="preserve">03406/ORSE	</t>
  </si>
  <si>
    <t xml:space="preserve">Argamassa industrializada AC-I, Votomassa ou similar	</t>
  </si>
  <si>
    <t xml:space="preserve">91341/SINAPI	</t>
  </si>
  <si>
    <t xml:space="preserve">Porta em alumínio de abrir tipo veneziana com guarnição, fixação com parafusos - fornecimento e instalação. af_08/2015	</t>
  </si>
  <si>
    <t xml:space="preserve">39025/SINAPI	</t>
  </si>
  <si>
    <t xml:space="preserve">Porta de abrir em aluminio tipo veneziana, acabamento anodizado natural, sem guarnicao/alizar/vista, 87 x 210 cm	</t>
  </si>
  <si>
    <t xml:space="preserve">07568/SINAPI	</t>
  </si>
  <si>
    <t xml:space="preserve">Bucha de nylon sem aba s10, com parafuso de 6,10 x 65 mm emaco zincado com rosca soberba, cabeca chata e fenda phillips	</t>
  </si>
  <si>
    <t xml:space="preserve">00142/SINAPI	</t>
  </si>
  <si>
    <t xml:space="preserve">Selante elastico monocomponente a base de poliuretano para juntas diversas	</t>
  </si>
  <si>
    <t xml:space="preserve">36888/SINAPI	</t>
  </si>
  <si>
    <t xml:space="preserve">Guarnicao/moldura de acabamento para esquadria de aluminio anodizado natural, para 1 face	</t>
  </si>
  <si>
    <t xml:space="preserve">84959/SINAPI	</t>
  </si>
  <si>
    <t xml:space="preserve">Vidro liso comum transparente, espessura 6mm	</t>
  </si>
  <si>
    <t xml:space="preserve">88325/SINAPI	</t>
  </si>
  <si>
    <t xml:space="preserve">10498/SINAPI	</t>
  </si>
  <si>
    <t xml:space="preserve">Massa para vidro	</t>
  </si>
  <si>
    <t xml:space="preserve">10491/SINAPI	</t>
  </si>
  <si>
    <t xml:space="preserve">Vidro liso incolor 6 mm - sem colocacao	</t>
  </si>
  <si>
    <t xml:space="preserve">72118/SINAPI	</t>
  </si>
  <si>
    <t xml:space="preserve">Vidro temperado incolor, espessura 6mm, fornecimento e instalacao, inclusive massa para vedacao	</t>
  </si>
  <si>
    <t xml:space="preserve">10505/SINAPI	</t>
  </si>
  <si>
    <t xml:space="preserve">Vidro temperado incolor e = 6 mm, sem colocacao	</t>
  </si>
  <si>
    <t xml:space="preserve">09094/ORSE	</t>
  </si>
  <si>
    <t xml:space="preserve">Medidor de gás GLP, classe 300, d=28mm	</t>
  </si>
  <si>
    <t xml:space="preserve">02696/SINAPI	</t>
  </si>
  <si>
    <t xml:space="preserve">Encanador ou bombeiro hidraulico	</t>
  </si>
  <si>
    <t xml:space="preserve">12211/ORSE	</t>
  </si>
  <si>
    <t xml:space="preserve">Ponto de gás de cozinha com tubo cobre soldável para 02 botijões, registro ou regulador, exclusive botijões	</t>
  </si>
  <si>
    <t xml:space="preserve">00367/SINAPI	</t>
  </si>
  <si>
    <t xml:space="preserve">Areia grossa - posto jazida/fornecedor (retirado na jazida,sem transporte)	</t>
  </si>
  <si>
    <t xml:space="preserve">03146/SINAPI	</t>
  </si>
  <si>
    <t xml:space="preserve">Fita veda rosca em rolos de 18 mm x 10 m (l x c)	</t>
  </si>
  <si>
    <t xml:space="preserve">03768/SINAPI	</t>
  </si>
  <si>
    <t xml:space="preserve">Lixa em folha para ferro, numero 150	</t>
  </si>
  <si>
    <t xml:space="preserve">07546/ORSE	</t>
  </si>
  <si>
    <t xml:space="preserve">Conector femea de cobre, solda e rosca 22mm x 3/4" (instal.gás)	</t>
  </si>
  <si>
    <t xml:space="preserve">39897/SINAPI	</t>
  </si>
  <si>
    <t xml:space="preserve">Pasta para solda de tubos e conexoes de cobre (embalagem com 250 g)	</t>
  </si>
  <si>
    <t xml:space="preserve">39666/SINAPI	</t>
  </si>
  <si>
    <t xml:space="preserve">Tubo de cobre flexivel, d = 3/4 ", e = 0,79 mm, para ar-condicionado/ instalacoes gas residenciais e comerciais	</t>
  </si>
  <si>
    <t xml:space="preserve">12734/SINAPI	</t>
  </si>
  <si>
    <t xml:space="preserve">Te de cobre (ref 611) sem anel de solda, bolsa x bolsa x bolsa, 22 mm	</t>
  </si>
  <si>
    <t xml:space="preserve">00400/SINAPI	</t>
  </si>
  <si>
    <t xml:space="preserve">Abracadeira em aco para amarracao de eletrodutos, tipo d, com 3/4" e parafuso de fixacao	</t>
  </si>
  <si>
    <t xml:space="preserve">39871/SINAPI	</t>
  </si>
  <si>
    <t xml:space="preserve">Cotovelo bronze/latao (ref 707-3) sem anel de solda, bolsa x rosca f, 22mm x 3/4"	</t>
  </si>
  <si>
    <t xml:space="preserve">04375/SINAPI	</t>
  </si>
  <si>
    <t xml:space="preserve">Bucha de nylon sem aba s6	</t>
  </si>
  <si>
    <t xml:space="preserve">12715/SINAPI	</t>
  </si>
  <si>
    <t xml:space="preserve">Cotovelo de cobre 90 graus (ref 607) sem anel de solda, bolsa x bolsa, 22 mm	</t>
  </si>
  <si>
    <t xml:space="preserve">11749/SINAPI	</t>
  </si>
  <si>
    <t xml:space="preserve">Valvula de esfera bruta em bronze, bitola 3/4 " (ref 1552-b)	</t>
  </si>
  <si>
    <t xml:space="preserve">04889/SINAPI	</t>
  </si>
  <si>
    <t xml:space="preserve">Plug ou bujao de ferro galvanizado, de 3/4"	</t>
  </si>
  <si>
    <t xml:space="preserve">96986/SINAPI	</t>
  </si>
  <si>
    <t xml:space="preserve">Haste de aterramento 3/4 para spda - fornecimento e instalação. af_12/2017	</t>
  </si>
  <si>
    <t xml:space="preserve">88247/SINAPI	</t>
  </si>
  <si>
    <t xml:space="preserve">88264/SINAPI	</t>
  </si>
  <si>
    <t xml:space="preserve">03378/SINAPI	</t>
  </si>
  <si>
    <t xml:space="preserve">11273/ORSE	</t>
  </si>
  <si>
    <t xml:space="preserve">Caixa de equipotencialização em aço 200x200x90mm, para embutir com tampa, com 9 terminais, ref:TEL-901 ou similar (SPDA)	</t>
  </si>
  <si>
    <t xml:space="preserve">02436/SINAPI	</t>
  </si>
  <si>
    <t xml:space="preserve">12141/ORSE	</t>
  </si>
  <si>
    <t xml:space="preserve">96987/SINAPI	</t>
  </si>
  <si>
    <t xml:space="preserve">Base metálica para mastro 1 ½ para spda - fornecimento e instalação. af_12/2017	</t>
  </si>
  <si>
    <t xml:space="preserve">38060/SINAPI	</t>
  </si>
  <si>
    <t xml:space="preserve">Base para mastro de para-raios diametro nominal 1 1/2"	</t>
  </si>
  <si>
    <t xml:space="preserve">96988/SINAPI	</t>
  </si>
  <si>
    <t xml:space="preserve">Mastro 1 ½ para spda - fornecimento e instalação. af_12/2017	</t>
  </si>
  <si>
    <t xml:space="preserve">12357/SINAPI	</t>
  </si>
  <si>
    <t xml:space="preserve">Mastro simples galvanizado diametro nominal 1 1/2", comprimento 3 m	</t>
  </si>
  <si>
    <t xml:space="preserve">93138/SINAPI	</t>
  </si>
  <si>
    <t xml:space="preserve">Ponto de iluminação residencial incluindo interruptor paralelo, caixa elétrica, eletroduto, cabo, rasgo, quebra e chumbamento (excluindo luminária e lâmpada). af_01/2016	</t>
  </si>
  <si>
    <t xml:space="preserve">90447/SINAPI	</t>
  </si>
  <si>
    <t xml:space="preserve">Rasgo em alvenaria para eletrodutos com diametros menores ou iguais a 40 mm. af_05/2015	</t>
  </si>
  <si>
    <t xml:space="preserve">90456/SINAPI	</t>
  </si>
  <si>
    <t xml:space="preserve">Quebra em alvenaria para instalação de caixa de tomada (4x4 ou 4x2). af_05/2015	</t>
  </si>
  <si>
    <t xml:space="preserve">90466/SINAPI	</t>
  </si>
  <si>
    <t xml:space="preserve">Chumbamento linear em alvenaria para ramais/distribuição com diâmetros menores ou iguais a 40 mm. af_05/2015	</t>
  </si>
  <si>
    <t xml:space="preserve">91842/SINAPI	</t>
  </si>
  <si>
    <t xml:space="preserve">Eletroduto flexível corrugado, pvc, dn 20 mm (1/2"), para circuitos terminais, instalado em laje - fornecimento e instalação. af_12/2015	</t>
  </si>
  <si>
    <t xml:space="preserve">91852/SINAPI	</t>
  </si>
  <si>
    <t xml:space="preserve">Eletroduto flexível corrugado, pvc, dn 20 mm (1/2"), para circuitos terminais, instalado em parede - fornecimento e instalação. af_12/2015	</t>
  </si>
  <si>
    <t xml:space="preserve">91924/SINAPI	</t>
  </si>
  <si>
    <t xml:space="preserve">Cabo de cobre flexível isolado, 1,5 mm², anti-chama 450/750 v, para circuitos terminais - fornecimento e instalação. af_12/2015	</t>
  </si>
  <si>
    <t xml:space="preserve">91937/SINAPI	</t>
  </si>
  <si>
    <t xml:space="preserve">Caixa octogonal 3" x 3", pvc, instalada em laje - fornecimento e instalação. af_12/2015	</t>
  </si>
  <si>
    <t xml:space="preserve">91940/SINAPI	</t>
  </si>
  <si>
    <t xml:space="preserve">Caixa retangular 4" x 2" média (1,30 m do piso), pvc, instalada em parede - fornecimento e instalação. af_12/2015	</t>
  </si>
  <si>
    <t xml:space="preserve">91955/SINAPI	</t>
  </si>
  <si>
    <t xml:space="preserve">Interruptor paralelo (1 módulo), 10a/250v, incluindo suporte e placa - fornecimento e instalação. af_12/2015	</t>
  </si>
  <si>
    <t xml:space="preserve">03299/ORSE	</t>
  </si>
  <si>
    <t xml:space="preserve">Ponto de tomada 2p+t de sobrepor, 10 A, de uso geral, ABNT, c/canaleta plastica 20x10mm,"Sistema X", inclusive aterramento	</t>
  </si>
  <si>
    <t xml:space="preserve">Eletricista	</t>
  </si>
  <si>
    <t xml:space="preserve">20111/SINAPI	</t>
  </si>
  <si>
    <t xml:space="preserve">Fita isolante adesiva antichama, uso ate 750 v, em rolo de 19 mm x 20 m	</t>
  </si>
  <si>
    <t xml:space="preserve">00939/SINAPI	</t>
  </si>
  <si>
    <t xml:space="preserve">Fio de cobre, solido, classe 1, isolacao em pvc/a, antichama bwf-b, 450/750v, secao nominal 2,5 mm2	</t>
  </si>
  <si>
    <t xml:space="preserve">09099/ORSE	</t>
  </si>
  <si>
    <t xml:space="preserve">Tomada 2p + t, ABNT, de sobrepor, 10A, sistema X	</t>
  </si>
  <si>
    <t xml:space="preserve">00492/ORSE	</t>
  </si>
  <si>
    <t xml:space="preserve">Canaleta plastica 20 x 10mm, com divisória ( ref.308 01, Pial Legrand ou similar)	</t>
  </si>
  <si>
    <t xml:space="preserve">00484/ORSE	</t>
  </si>
  <si>
    <t xml:space="preserve">Caixa sobrepor 4" x 2", sistema "x"	</t>
  </si>
  <si>
    <t xml:space="preserve">02682/ORSE	</t>
  </si>
  <si>
    <t xml:space="preserve">Parafuso c/ bucha S-6	</t>
  </si>
  <si>
    <t xml:space="preserve">00638/ORSE	</t>
  </si>
  <si>
    <t xml:space="preserve">Ponto embutido cigarra campainha caixa 4" x 2" c/ eletroduto pvc rígido Ø 3/4"	</t>
  </si>
  <si>
    <t xml:space="preserve">00866/ORSE	</t>
  </si>
  <si>
    <t xml:space="preserve">01872/SINAPI	</t>
  </si>
  <si>
    <t xml:space="preserve">Eletroduto condulete pvc rígido, d= 3/4"	</t>
  </si>
  <si>
    <t xml:space="preserve">Caixa de passagem, em pvc, de 4" x 2", para eletroduto flexivel corrugado	</t>
  </si>
  <si>
    <t xml:space="preserve">00501/ORSE	</t>
  </si>
  <si>
    <t xml:space="preserve">Campainha cigarra 110v	</t>
  </si>
  <si>
    <t xml:space="preserve">00938/SINAPI	</t>
  </si>
  <si>
    <t xml:space="preserve">Fio de cobre, solido, classe 1, isolacao em pvc/a, antichama bwf-b, 450/750v, secao nominal 1,5 mm2	</t>
  </si>
  <si>
    <t xml:space="preserve">12223/ORSE	</t>
  </si>
  <si>
    <t xml:space="preserve">Quadro de distribuição de embutir, em chapa de aço, para até 12 disjuntores, com barramento, padrão DIN, exclusive disjuntores	</t>
  </si>
  <si>
    <t xml:space="preserve">87296/SINAPI	</t>
  </si>
  <si>
    <t xml:space="preserve">Argamassa traço 1:3:12 (em volume de cimento, cal e areia média úmida) para emboço/massa única/assentamento de alvenaria de vedação, preparo mecânico com betoneira 600 l. af_08/2019	</t>
  </si>
  <si>
    <t xml:space="preserve">10312/ORSE	</t>
  </si>
  <si>
    <t xml:space="preserve">Módulo para 24 medidores com barramento , 1500 x 2600 x 200mm, em chapa de aço galvanizada pintada eletrostáticamente	</t>
  </si>
  <si>
    <t xml:space="preserve">11089/ORSE	</t>
  </si>
  <si>
    <t xml:space="preserve">03308/ORSE	</t>
  </si>
  <si>
    <t xml:space="preserve">Argamassa em volume - cimento, cal e areia traço t-5 (1:2:8) - 1 saco cimento 50 kg / 2 sacos cal 20 kg / 8 padiolas de areia dim 0.35 x 0.45 x 0.13 m - Confecção mecânica e transporte	</t>
  </si>
  <si>
    <t xml:space="preserve">95643/SINAPI	</t>
  </si>
  <si>
    <t xml:space="preserve">Kit cavalete para medição de água - entrada individualizada, em pvc dn 25 (¾?), para 4 medidores ? fornecimento e instalação (exclusive hidrômetro). af_11/2016	</t>
  </si>
  <si>
    <t xml:space="preserve">88248/SINAPI	</t>
  </si>
  <si>
    <t xml:space="preserve">88267/SINAPI	</t>
  </si>
  <si>
    <t xml:space="preserve">00065/SINAPI	</t>
  </si>
  <si>
    <t xml:space="preserve">Adaptador pvc soldavel curto com bolsa e rosca, 25 mm x 3/4", para agua fria	</t>
  </si>
  <si>
    <t xml:space="preserve">00813/SINAPI	</t>
  </si>
  <si>
    <t xml:space="preserve">Bucha de reducao de pvc, soldavel, longa, com 50 x 25 mm, para agua fria predial	</t>
  </si>
  <si>
    <t xml:space="preserve">03529/SINAPI	</t>
  </si>
  <si>
    <t xml:space="preserve">Joelho pvc, soldavel, 90 graus, 25 mm, para agua fria predial	</t>
  </si>
  <si>
    <t xml:space="preserve">03540/SINAPI	</t>
  </si>
  <si>
    <t xml:space="preserve">Joelho pvc, soldavel, 90 graus, 50 mm, para agua fria predial	</t>
  </si>
  <si>
    <t xml:space="preserve">06016/SINAPI	</t>
  </si>
  <si>
    <t xml:space="preserve">Registro gaveta bruto em latao forjado, bitola 3/4 " (ref 1509)	</t>
  </si>
  <si>
    <t xml:space="preserve">07142/SINAPI	</t>
  </si>
  <si>
    <t xml:space="preserve">Te soldavel, pvc, 90 graus,50 mm, para agua fria predial (nbr 5648)	</t>
  </si>
  <si>
    <t xml:space="preserve">09868/SINAPI	</t>
  </si>
  <si>
    <t xml:space="preserve">Tubo pvc, soldavel, dn 25 mm, agua fria (nbr-5648)	</t>
  </si>
  <si>
    <t xml:space="preserve">09875/SINAPI	</t>
  </si>
  <si>
    <t xml:space="preserve">Tubo pvc, soldavel, dn 50 mm, para agua fria (nbr-5648)	</t>
  </si>
  <si>
    <t xml:space="preserve">20080/SINAPI	</t>
  </si>
  <si>
    <t xml:space="preserve">Adesivo plastico para pvc, frasco com 175 gr	</t>
  </si>
  <si>
    <t xml:space="preserve">20083/SINAPI	</t>
  </si>
  <si>
    <t xml:space="preserve">Solucao limpadora para pvc, frasco com 1000 cm3	</t>
  </si>
  <si>
    <t xml:space="preserve">38383/SINAPI	</t>
  </si>
  <si>
    <t xml:space="preserve">Lixa d'agua em folha, grao 100	</t>
  </si>
  <si>
    <t xml:space="preserve">01679/ORSE	</t>
  </si>
  <si>
    <t xml:space="preserve">Ponto de esgoto com tubo de pvc rígido soldável de Ø 40 mm (lavatórios, mictórios, ralos sifonados, etc...)	</t>
  </si>
  <si>
    <t xml:space="preserve">00138/ORSE	</t>
  </si>
  <si>
    <t xml:space="preserve">Adesivo pvc em frasco de 850 gramas	</t>
  </si>
  <si>
    <t xml:space="preserve">01703/ORSE	</t>
  </si>
  <si>
    <t xml:space="preserve">Pasta lubrificante p/ pvc je	</t>
  </si>
  <si>
    <t xml:space="preserve">02036/ORSE	</t>
  </si>
  <si>
    <t xml:space="preserve">Solucao limpadora pvc	</t>
  </si>
  <si>
    <t xml:space="preserve">03767/SINAPI	</t>
  </si>
  <si>
    <t xml:space="preserve">Lixa em folha para parede ou madeira, numero 120 (cor vermelha)	</t>
  </si>
  <si>
    <t xml:space="preserve">09835/SINAPI	</t>
  </si>
  <si>
    <t xml:space="preserve">Tubo pvc serie normal, dn 40 mm, para esgoto predial (nbr5688)	</t>
  </si>
  <si>
    <t xml:space="preserve">03517/SINAPI	</t>
  </si>
  <si>
    <t xml:space="preserve">Joelho pvc, soldavel, bb, 90 graus, dn 40 mm, para esgoto predial	</t>
  </si>
  <si>
    <t xml:space="preserve">03516/SINAPI	</t>
  </si>
  <si>
    <t xml:space="preserve">Joelho pvc, soldavel, bb, 45 graus, dn 40 mm, para esgoto predial	</t>
  </si>
  <si>
    <t xml:space="preserve">08342/ORSE	</t>
  </si>
  <si>
    <t xml:space="preserve">Ponto de esgoto com tubo de pvc rígido soldável de Ø 75 mm	</t>
  </si>
  <si>
    <t xml:space="preserve">00013/SINAPI	</t>
  </si>
  <si>
    <t xml:space="preserve">Estopa	</t>
  </si>
  <si>
    <t xml:space="preserve">03519/SINAPI	</t>
  </si>
  <si>
    <t xml:space="preserve">Joelho pvc, soldavel, pb, 45 graus, dn 75 mm, para esgoto predial	</t>
  </si>
  <si>
    <t xml:space="preserve">09837/SINAPI	</t>
  </si>
  <si>
    <t xml:space="preserve">Tubo pvc serie normal, dn 75 mm, para esgoto predial (nbr 5688)	</t>
  </si>
  <si>
    <t xml:space="preserve">11658/SINAPI	</t>
  </si>
  <si>
    <t xml:space="preserve">Te sanitario, pvc, dn 75 x 75 mm, serie normal para esgoto predial	</t>
  </si>
  <si>
    <t xml:space="preserve">01353/ORSE	</t>
  </si>
  <si>
    <t xml:space="preserve">Ponto de água fria embutido, c/material pvc rígido roscável Ø 3/4"	</t>
  </si>
  <si>
    <t xml:space="preserve">00981/ORSE	</t>
  </si>
  <si>
    <t xml:space="preserve">Fita veda rosca 18mm	</t>
  </si>
  <si>
    <t xml:space="preserve">01107/SINAPI	</t>
  </si>
  <si>
    <t xml:space="preserve">Cal virgem comum para argamassas (nbr 6453)	</t>
  </si>
  <si>
    <t xml:space="preserve">01380/SINAPI	</t>
  </si>
  <si>
    <t xml:space="preserve">Cimento branco	</t>
  </si>
  <si>
    <t xml:space="preserve">09859/SINAPI	</t>
  </si>
  <si>
    <t xml:space="preserve">Tubo pvc roscavel, 3/4", agua fria predial	</t>
  </si>
  <si>
    <r>
      <t xml:space="preserve">PONTO de água fria </t>
    </r>
    <r>
      <rPr>
        <b/>
        <sz val="11"/>
        <rFont val="Calibri"/>
        <family val="2"/>
      </rPr>
      <t>ø</t>
    </r>
    <r>
      <rPr>
        <b/>
        <sz val="11"/>
        <rFont val="Calibri"/>
        <family val="2"/>
        <scheme val="minor"/>
      </rPr>
      <t>2 5 m m</t>
    </r>
  </si>
  <si>
    <t xml:space="preserve">06163/ORSE	</t>
  </si>
  <si>
    <t xml:space="preserve">Fornecimento e assentamento de hidrômetro dn 1/2", vazão 3,0m3/h	</t>
  </si>
  <si>
    <t xml:space="preserve">12773/SINAPI	</t>
  </si>
  <si>
    <t xml:space="preserve">Hidrometro unijato, vazao maxima de 3,0 m3/h, de 1/2"	</t>
  </si>
  <si>
    <t xml:space="preserve">00980/ORSE	</t>
  </si>
  <si>
    <t xml:space="preserve">Fita vedacao teflon larg= 1/2"	</t>
  </si>
  <si>
    <t xml:space="preserve">02938/ORSE	</t>
  </si>
  <si>
    <t xml:space="preserve">Ponto seco de tomada p/ lógica, com eletroduto pvc rígido embutido, Ø 3/4"	</t>
  </si>
  <si>
    <t xml:space="preserve">02242/ORSE	</t>
  </si>
  <si>
    <t xml:space="preserve">Tomada para lógica, rj45, com placa	</t>
  </si>
  <si>
    <t xml:space="preserve">02674/SINAPI	</t>
  </si>
  <si>
    <t xml:space="preserve">Eletroduto de pvc rigido roscavel de 3/4 ", sem luva	</t>
  </si>
  <si>
    <t xml:space="preserve">00789/ORSE	</t>
  </si>
  <si>
    <t xml:space="preserve">Ponto embutido tomada p/ tv a cabo, c/ eletroduto condulete pvc rígido Ø 3/4" s/ fiação, exclusive tomada	</t>
  </si>
  <si>
    <t xml:space="preserve">02556/SINAPI	</t>
  </si>
  <si>
    <t xml:space="preserve">Caixa de luz "4 x 2" em aco esmaltada	</t>
  </si>
  <si>
    <t xml:space="preserve">72288/SINAPI	</t>
  </si>
  <si>
    <t xml:space="preserve">Caixa de incêndio 60x75x17cm - fornecimento e instalação	</t>
  </si>
  <si>
    <t xml:space="preserve">10885/SINAPI	</t>
  </si>
  <si>
    <t xml:space="preserve">Caixa de incendio/abrigo para mangueira, de embutir/interna, com 90 x 60 x 17 cm, em chapa de aco, porta com ventilacao, visor com a inscricao "incendio", suporte/cesta interna para a mangueira, pintura eletrostatica vermelha	</t>
  </si>
  <si>
    <t xml:space="preserve">12137/ORSE	</t>
  </si>
  <si>
    <t xml:space="preserve">Placa de sinalizacao de seguranca contra incendio, fotoluminescente, quadrada, *20 x 20* cm, em pvc *2* mm anti-chamas (simbolos, cores e pictogramas conforme nbr 13434)	</t>
  </si>
  <si>
    <t xml:space="preserve">37556/SINAPI	</t>
  </si>
  <si>
    <t xml:space="preserve">86929/SINAPI	</t>
  </si>
  <si>
    <t xml:space="preserve">Tanque de mármore sintético suspenso, 22l ou equivalente, incluso sifão flexível em pvc, válvula plástica e torneira de metal cromado padrão popular - fornecimento e instalação. af_12/2013	</t>
  </si>
  <si>
    <t xml:space="preserve">86876/SINAPI	</t>
  </si>
  <si>
    <t xml:space="preserve">Tanque de mármore sintético suspenso, 22l ou equivalente - fornecimento e instalação. af_12/2013	</t>
  </si>
  <si>
    <t xml:space="preserve">86879/SINAPI	</t>
  </si>
  <si>
    <t xml:space="preserve">Válvula em plástico 1" para pia, tanque ou lavatório, com ou sem ladrão - fornecimento e instalação. af_12/2013	</t>
  </si>
  <si>
    <t xml:space="preserve">86883/SINAPI	</t>
  </si>
  <si>
    <t xml:space="preserve">Sifão do tipo flexível em pvc 1? x 1.1/2? - fornecimento e instalação. af_12/2013	</t>
  </si>
  <si>
    <t xml:space="preserve">86913/SINAPI	</t>
  </si>
  <si>
    <t xml:space="preserve">Torneira cromada 1/2" ou 3/4" para tanque, padrão popular - fornecimento e instalação. af_12/2013	</t>
  </si>
  <si>
    <t xml:space="preserve">738591/SINAPI	</t>
  </si>
  <si>
    <t xml:space="preserve">Desmatamento e limpeza mecanizada de terreno com remocao de camada vegetal, utilizando trator de esteiras	</t>
  </si>
  <si>
    <t xml:space="preserve">05851/SINAPI	</t>
  </si>
  <si>
    <t xml:space="preserve">Trator de esteiras, potência 150 hp, peso operacional 16,7 t, com roda motriz elevada e lâmina 3,18 m3 - chp diurno. af_06/2014	</t>
  </si>
  <si>
    <t xml:space="preserve">Carpinteiro de formas </t>
  </si>
  <si>
    <t>Carpinteiro de formas</t>
  </si>
  <si>
    <t xml:space="preserve">Carpinteiro de formas 	</t>
  </si>
  <si>
    <r>
      <rPr>
        <u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ervente </t>
    </r>
  </si>
  <si>
    <t xml:space="preserve">Formas manuseáveis para paredes de concreto moldadas in loco, de edificações de pavimento único, em panos de fachada sem vãos. af_06/2015	</t>
  </si>
  <si>
    <t xml:space="preserve">91007/SINAPI	</t>
  </si>
  <si>
    <t xml:space="preserve">Sistema de formas manuseaveis de aluminio, para edif. resid. unifamiliar com paredes de concreto moldadas in loco, unidade habitacional terrea com 38 m2, com sala, circulacao, 2 quartos, banheiro, cozinha e tanque externo (sem cobertura) (coletado ca	</t>
  </si>
  <si>
    <t xml:space="preserve">Servente 	</t>
  </si>
  <si>
    <t xml:space="preserve">39964/SINAPI	</t>
  </si>
  <si>
    <t xml:space="preserve">Carpinteiro de formas	</t>
  </si>
  <si>
    <t>Telha Onda 50 8mm 4,60x0,60m - 234084605 - BRASILIT</t>
  </si>
  <si>
    <t>Telhanorte</t>
  </si>
  <si>
    <t>Copafer</t>
  </si>
  <si>
    <t xml:space="preserve">Impermeabilizador </t>
  </si>
  <si>
    <t xml:space="preserve">Marmorista/graniteiro </t>
  </si>
  <si>
    <t xml:space="preserve">Vidraceiro </t>
  </si>
  <si>
    <t xml:space="preserve">Auxiliar de eletricista </t>
  </si>
  <si>
    <t xml:space="preserve">Eletricista </t>
  </si>
  <si>
    <t>ADAPTADO ORSE</t>
  </si>
  <si>
    <t>QUADRO DE DISTRIBUICAO COM BARRAMENTO TRIFASICO, DE EMBUTIR, EM CHAPA DE ACO UN 188,55
GALVANIZADO, PARA 12 DISJUNTORES DIN, 100 A</t>
  </si>
  <si>
    <t>0013393/SINAPI</t>
  </si>
  <si>
    <t>Auxiliar de encanador ou bombeiro hidráulico</t>
  </si>
  <si>
    <t>Encanador ou bombeiro hidráulico</t>
  </si>
  <si>
    <t>BACIA SANITARIA (VASO) COM CAIXA ACOPLADA, DE LOUCA BRANCA</t>
  </si>
  <si>
    <t>010422/SINAPI</t>
  </si>
  <si>
    <t>ADAPTADO TCPO</t>
  </si>
  <si>
    <t>total</t>
  </si>
  <si>
    <t xml:space="preserve">comprimento </t>
  </si>
  <si>
    <t xml:space="preserve">largura </t>
  </si>
  <si>
    <t xml:space="preserve">profundidade </t>
  </si>
  <si>
    <t>quantidade</t>
  </si>
  <si>
    <t>area do terreno</t>
  </si>
  <si>
    <t>perímetro</t>
  </si>
  <si>
    <t xml:space="preserve">02451/ORSE	</t>
  </si>
  <si>
    <t xml:space="preserve">02477/ORSE	</t>
  </si>
  <si>
    <t xml:space="preserve">Caminhao basc. 9 t/6,0 m3 (m. benz - 1315 -150,0 kw)	</t>
  </si>
  <si>
    <t xml:space="preserve">Pá - carregadeira de esteira 1,53m3 (cat - 953 - 130,0 hp)	</t>
  </si>
  <si>
    <t>encarregado</t>
  </si>
  <si>
    <t xml:space="preserve">00054/ORSE	</t>
  </si>
  <si>
    <t>muro</t>
  </si>
  <si>
    <t>comprimento</t>
  </si>
  <si>
    <t>altura</t>
  </si>
  <si>
    <t xml:space="preserve">Fôrmas para o radier </t>
  </si>
  <si>
    <t>22300.9.10.1 / 04723/ORSE</t>
  </si>
  <si>
    <t xml:space="preserve">Fôrmas para as lajes </t>
  </si>
  <si>
    <t xml:space="preserve">área </t>
  </si>
  <si>
    <t>pavimento por prédio</t>
  </si>
  <si>
    <t>prédio</t>
  </si>
  <si>
    <t>medida</t>
  </si>
  <si>
    <t>inferior</t>
  </si>
  <si>
    <t xml:space="preserve">concreto para as lajes </t>
  </si>
  <si>
    <t xml:space="preserve">espessura </t>
  </si>
  <si>
    <t>Fôrmas para as paredes</t>
  </si>
  <si>
    <t>vão</t>
  </si>
  <si>
    <t>Fôrmas para a platibanda</t>
  </si>
  <si>
    <t xml:space="preserve">extrena </t>
  </si>
  <si>
    <t>interna</t>
  </si>
  <si>
    <t>concreto da platibanda</t>
  </si>
  <si>
    <t>espessura</t>
  </si>
  <si>
    <t xml:space="preserve">Armadura para as lajes </t>
  </si>
  <si>
    <t>taxa de armadura T-196</t>
  </si>
  <si>
    <t>taxa de armadura Q-113</t>
  </si>
  <si>
    <t>Peso</t>
  </si>
  <si>
    <t xml:space="preserve">Escavação </t>
  </si>
  <si>
    <t>Armadura para o radier</t>
  </si>
  <si>
    <t>taxa de armadura Q -92</t>
  </si>
  <si>
    <t>Armadura para a platibanda</t>
  </si>
  <si>
    <t>área da cobertura</t>
  </si>
  <si>
    <t>02</t>
  </si>
  <si>
    <t>03</t>
  </si>
  <si>
    <t>01</t>
  </si>
  <si>
    <t xml:space="preserve">Total </t>
  </si>
  <si>
    <t>largura</t>
  </si>
  <si>
    <t>Rufo</t>
  </si>
  <si>
    <t xml:space="preserve">quantidade de prédios </t>
  </si>
  <si>
    <t xml:space="preserve">quantidade por prédio </t>
  </si>
  <si>
    <t>calha</t>
  </si>
  <si>
    <t>impermeabilização do radier</t>
  </si>
  <si>
    <t xml:space="preserve">esquadria </t>
  </si>
  <si>
    <t>J01</t>
  </si>
  <si>
    <t>J02</t>
  </si>
  <si>
    <t>J04</t>
  </si>
  <si>
    <t>J08</t>
  </si>
  <si>
    <t xml:space="preserve">AREA </t>
  </si>
  <si>
    <t>QUANTIDADE</t>
  </si>
  <si>
    <t xml:space="preserve">Formas de parede INTERNA </t>
  </si>
  <si>
    <t>QUARTO 01</t>
  </si>
  <si>
    <t>QUARTO 02</t>
  </si>
  <si>
    <t xml:space="preserve">BANHEIRO </t>
  </si>
  <si>
    <t xml:space="preserve">COZINHA </t>
  </si>
  <si>
    <t>SALA DE ESTAR</t>
  </si>
  <si>
    <t xml:space="preserve">AREA DE CIRCULAÇÃO EXTERNA </t>
  </si>
  <si>
    <t xml:space="preserve">PERÍMETRO </t>
  </si>
  <si>
    <t xml:space="preserve">ALTURA </t>
  </si>
  <si>
    <t xml:space="preserve">VÃOS </t>
  </si>
  <si>
    <t xml:space="preserve">AREA TOTAL </t>
  </si>
  <si>
    <t>AREA DE CIRCULAÇÃO EXTERNA (TERREO)</t>
  </si>
  <si>
    <t>J10</t>
  </si>
  <si>
    <t>P10</t>
  </si>
  <si>
    <t>P11</t>
  </si>
  <si>
    <t>J01 + (CIRC TERREO)</t>
  </si>
  <si>
    <t>ESQUADRIAS</t>
  </si>
  <si>
    <t>QUANTIDADE POR APARTAMENTO</t>
  </si>
  <si>
    <t xml:space="preserve">QUANTIDADE DE APARTAMENTOS </t>
  </si>
  <si>
    <t>J01 + (CIRC)</t>
  </si>
  <si>
    <t>P01</t>
  </si>
  <si>
    <t>P02</t>
  </si>
  <si>
    <t>P03</t>
  </si>
  <si>
    <t>Total (UND)</t>
  </si>
  <si>
    <t>TOTAL (AREA)</t>
  </si>
  <si>
    <t xml:space="preserve">CORRIMÃO DA ESCADA </t>
  </si>
  <si>
    <t>Total( m)</t>
  </si>
  <si>
    <t>verniz das portas de madeira</t>
  </si>
  <si>
    <t xml:space="preserve">Textura da parede externa </t>
  </si>
  <si>
    <t>platibanda</t>
  </si>
  <si>
    <t>demais paredes</t>
  </si>
  <si>
    <t>AREA DE CIRCULAÇÃO EXTERNA parede abaixo da escada (TERREO)</t>
  </si>
  <si>
    <t>DIVISÓRIA COZINHA /SALA</t>
  </si>
  <si>
    <t>Trator de esteiras, potência 150 hp, peso operacional 16,7 t, com roda motriz elevada e lâmina 3,18 m3 - chp diurno. af_06/2014</t>
  </si>
  <si>
    <t>7624/SINAPI</t>
  </si>
  <si>
    <t xml:space="preserve">Revestimento texturizado de alta caMada </t>
  </si>
  <si>
    <t xml:space="preserve">Batente de madeira para porta de uma folha - vão de até 0,90 m x 2,10 m (espessura: 35,00 mm / largura: 140,00 mm / tipo de madeira: peroba / perímetro: 5,40 m) </t>
  </si>
  <si>
    <t>04</t>
  </si>
  <si>
    <t>04 (entrada)</t>
  </si>
  <si>
    <t xml:space="preserve">PAREDE </t>
  </si>
  <si>
    <t>05</t>
  </si>
  <si>
    <t>06</t>
  </si>
  <si>
    <t>07</t>
  </si>
  <si>
    <t>08</t>
  </si>
  <si>
    <t>09</t>
  </si>
  <si>
    <t>10</t>
  </si>
  <si>
    <t>11</t>
  </si>
  <si>
    <t>COMPRIMENTO</t>
  </si>
  <si>
    <t xml:space="preserve">Armadura de parede INTERNA </t>
  </si>
  <si>
    <t>Armadura de parede externa</t>
  </si>
  <si>
    <t xml:space="preserve">Armadura de parede total </t>
  </si>
  <si>
    <t xml:space="preserve">peso </t>
  </si>
  <si>
    <t xml:space="preserve">concreto de parede INTERNA </t>
  </si>
  <si>
    <t>Concreto de parede externa</t>
  </si>
  <si>
    <t xml:space="preserve">concreto de parede total </t>
  </si>
  <si>
    <t xml:space="preserve">volume </t>
  </si>
  <si>
    <t xml:space="preserve">volume TOTAL </t>
  </si>
  <si>
    <t>parede escada térreo</t>
  </si>
  <si>
    <t xml:space="preserve">ESCADA </t>
  </si>
  <si>
    <t>LIMPEZA MECANIZADA DE CAMADA VEGETAL, VEGETAÇÃO E PEQUENAS ÁRVORES (DIÂMETRO DE TRONCO MENOR QUE 0,20 M), COM TRATOR DE ESTEIRAS.AF_05/2018)</t>
  </si>
  <si>
    <t xml:space="preserve">98525/SINAPI	</t>
  </si>
  <si>
    <t>JARDINEIRO</t>
  </si>
  <si>
    <t>SERVENTE</t>
  </si>
  <si>
    <t>TRATOR DE ESTEIRAS, POTÊNCIA 100 HP, PESO OPERACIONAL 9,4 T, COM LÂMINA 2, 19 M3 - CHI DIURNO. AF_06/2014</t>
  </si>
  <si>
    <t>1.1.1 - LIMPEZA MECANIZADA DE CAMADA VEGETAL</t>
  </si>
  <si>
    <t>LIMPEZA MECANIZADA DE CAMADA VEGETAL</t>
  </si>
  <si>
    <t>ARMAÇÃO DO SISTEMA DE PAREDES DE CONCRETO, EXECUTADA EM PAREDES DE EDIFICAÇÕES TÉRREAS OU DE MÚLTIPLOS PAVIMENTOS, TELA Q-92. AF_06/2019</t>
  </si>
  <si>
    <t>91594/SINAPI</t>
  </si>
  <si>
    <t>AJUDANTE DE ARMADOR</t>
  </si>
  <si>
    <t>ARMADOR</t>
  </si>
  <si>
    <t>88441/SINAPI</t>
  </si>
  <si>
    <t>88238/SINAPI</t>
  </si>
  <si>
    <t>TELA DE ACO SOLDADA NERVURADA, CA-60, Q-92, (1,48 KG/M2), DIAMETRO DO FIO = 4,2 MM, LARGURA = 2,45 X 60 M DE COMPRIMENTO, ESPACAMENTO DA MALHA = 15 X 15 CM</t>
  </si>
  <si>
    <t>21141/SINAPI</t>
  </si>
  <si>
    <t>ESPACADOR / DISTANCIADOR CIRCULAR COM ENTRADA LATERAL, EM PLASTICO, PARA VERGALHAO *4,2 A 12,5* MM, COBRIMENTO 20 MM</t>
  </si>
  <si>
    <t>UM</t>
  </si>
  <si>
    <t>ARAME RECOZIDO 16 BWG, D = 1,65 MM (0,016 KG/M) OU 18 BWG, D = 1,25 MM (0,01 KG/M)</t>
  </si>
  <si>
    <t>89031/SINAPI</t>
  </si>
  <si>
    <t>43132/SINAPI</t>
  </si>
  <si>
    <t>4.1.2 - ARMAÇÃO DO SISTEMA DE PAREDES DE CONCRETO, EXECUTADA COMO ARMADURA NEGATIVA DE LAJES, TELA T-196. AF_06/2019</t>
  </si>
  <si>
    <t>ARMAÇÃO DO SISTEMA DE PAREDES DE CONCRETO, EXECUTADA COMO ARMADURA NEGATIVA DE LAJES, TELA T-196. AF_06/2019</t>
  </si>
  <si>
    <t>91597/SINAPI</t>
  </si>
  <si>
    <t>TELA DE ACO SOLDADA NERVURADA, CA-60, T-196, (2,11 KG/M2), DIAMETRO DO FIO = 5,0 MM, LARGURA = 2,45 M, ESPACAMENTO DA MALHA = 30 X 10 CM</t>
  </si>
  <si>
    <t>4.1.3 - ARMAÇÃO DO SISTEMA DE PAREDES DE CONCRETO, EXECUTADA COMO ARMADURA POSITIVA DE LAJES, TELA Q-113. AF_06/2019</t>
  </si>
  <si>
    <t>ARMAÇÃO DO SISTEMA DE PAREDES DE CONCRETO, EXECUTADA COMO ARMADURA POSITIVA DE LAJES, TELA Q-113. AF_06/2019</t>
  </si>
  <si>
    <t>91598/SINAPI</t>
  </si>
  <si>
    <t>TELA DE ACO SOLDADA NERVURADA, CA-60, Q-113, (1,8 KG/M2), DIAMETRO DO FIO = 3,8 MM, LARGURA = 2,45 M, ESPACAMENTO DA MALHA = 10 X 10 CM</t>
  </si>
  <si>
    <t xml:space="preserve">CARPINTEIRO DE FORMAS	</t>
  </si>
  <si>
    <t>DESMOLDANTE PARA FORMAS METALICAS A BASE DE OLEO VEGETAL</t>
  </si>
  <si>
    <t>SISTEMA DE FORMAS MANUSEAVEIS DE ALUMINIO, PARA BLOCO RESID. COM PAREDES DE CONCRETO MOLDADAS IN LOCO, BLOCO COM 4 PAV. E 4 UNIDADES POR PAV., UNIDADE HABITACIONALCOM 48 M2 E 2 QUARTOS; TELHA DE FIBROCIMENTO (COLETADO CAIXA)</t>
  </si>
  <si>
    <t xml:space="preserve">ARMAÇÃO DO SISTEMA DE PAREDES DE CONCRETO, EXECUTADA COMO ARMADURA POSITIVA DE LAJES, TELA Q-138. AF_06/2019	</t>
  </si>
  <si>
    <t xml:space="preserve">4.2.4 -ARMAÇÃO DO SISTEMA DE PAREDES DE CONCRETO, EXECUTADA COMO ARMADURA POSITIVA DE LAJES, TELA Q-138. AF_06/2019 </t>
  </si>
  <si>
    <t>TELA DE ACO SOLDADA NERVURADA, CA-60, Q-138, (2,20 KG/M2), DIAMETRO DO FIO = 4,2 MM, LARGURA = 2,45 M, ESPACAMENTO DA MALHA = 10 X 10 CM</t>
  </si>
  <si>
    <t xml:space="preserve">43132/SINAPI	</t>
  </si>
  <si>
    <t>FORMAS MANUSEÁVEIS PARA PAREDES DE CONCRETO MOLDADAS IN LOCO, DE EDIFICAÇÕES DE MULTIPLOS PAVIMENTO, EM PLATIBANDA. AF_06/2015</t>
  </si>
  <si>
    <t>4.3.1 - FORMAS MANUSEÁVEIS PARA PAREDES DE CONCRETO MOLDADAS IN LOCO, DE EDIFICAÇÕES DE MULTIPLOS PAVIMENTO, EM PLATIBANDA. AF_06/2015</t>
  </si>
  <si>
    <t>4.3.2 - ARMAÇÃO DO SISTEMA DE PAREDES DE CONCRETO, EXECUTADA EM PAREDES DE EDIFICAÇÕES TÉRREAS OU DE MÚLTIPLOS PAVIMENTOS, TELA Q-92. AF_06/2019</t>
  </si>
  <si>
    <t>CONCRETAGEM DE EDIFICAÇÕES (PAREDES E LAJES) FEITAS COM SISTEMA DE FÔRMAS MANUSEÁVEIS, COM CONCRETO USINADO BOMBEÁVEL FCK 25 MPA - LANÇAMENTO, ADENSAMENTO E ACABAMENTO (EXCLUSIVE BOMBA LANÇA). AF_06/2015</t>
  </si>
  <si>
    <t>CARPINTEIRO DE FORMAS</t>
  </si>
  <si>
    <t>PEDREIRO</t>
  </si>
  <si>
    <t>VIBRADOR DE IMERSÃO, DIÂMETRO DE PONTEIRA 45MM, MOTOR ELÉTRICO TRIFÁSICO P</t>
  </si>
  <si>
    <t>CONCRETO USINADO BOMBEAVEL, CLASSE DE RESISTENCIA C25, COM BRITA 0 E 1, SLUMP = 190 +/- 20 MM, EXCLUI SERVICO DE BOMBEAMENTO (NBR 8953)</t>
  </si>
  <si>
    <t>VIBRADOR DE IMERSÃO, DIÂMETRO DE PONTEIRA 45MM, MOTOR ELÉTRICO TRIFÁSICO POTÊNCIA DE 2 CV - CHI DIURNO. AF_06/2015</t>
  </si>
  <si>
    <t>CONTRAPISO EM ARGAMASSA PRONTA, PREPARO MECÂNICO COM MISTURADOR 300 KG, APLICADO EM ÁREAS SECAS SOBRE LAJE, ADERIDO, ESPESSURA 3CM. AF_06/2014</t>
  </si>
  <si>
    <t>7.1.2 - CONTRAPISO EM ARGAMASSA PRONTA, PREPARO MECÂNICO COM MISTURADOR 300 KG, APLICADO EM ÁREAS SECAS SOBRE LAJE, ADERIDO, ESPESSURA 3CM. AF_06/2014</t>
  </si>
  <si>
    <t>CIMENTO PORTLAND COMPOSTO CP II-32</t>
  </si>
  <si>
    <t>ADITIVO ADESIVO LIQUIDO PARA ARGAMASSAS DE REVESTIMENTOS CIMENTICIOS</t>
  </si>
  <si>
    <t>ARGAMASSA PRONTA PARA CONTRAPISO, PREPARO COM MISTURADOR DE EIXO HORIZONTAL DE 300 KG. AF_08/2019</t>
  </si>
  <si>
    <t>CONTRAPISO EM ARGAMASSA PRONTA, PREPARO MANUAL, APLICADO EM ÁREAS MOLHADAS SOBRE LAJE, ADERIDO, ESPESSURA 3CM. AF_06/2014</t>
  </si>
  <si>
    <t>PORTLAND COMPOSTO CP II-32</t>
  </si>
  <si>
    <t>ARGAMASSA PRONTA PARA CONTRAPISO, PREPARO MANUAL. AF_08/2019</t>
  </si>
  <si>
    <t>MARMORISTA/GRANITEIRO</t>
  </si>
  <si>
    <t>RODAPE EM MARMORE, POLIDO, BRANCO COMUM, L= *7* CM, E= *2* CM, CORTE RETO</t>
  </si>
  <si>
    <t>REJUNTE CIMENTICIO, QUALQUER COR</t>
  </si>
  <si>
    <t xml:space="preserve">34357/SINAPI	</t>
  </si>
  <si>
    <t>ARGAMASSA COLANTE TIPO AC III</t>
  </si>
  <si>
    <t>PORTA EM ALUMÍNIO DE ABRIR TIPO VENEZIANA COM GUARNIÇÃO, FIXAÇÃO COM PARAFUSOS - FORNECIMENTO E INSTALAÇÃO. AF_12/2019</t>
  </si>
  <si>
    <t>PORTA DE ABRIR EM ALUMINIO TIPO VENEZIANA, ACABAMENTO ANODIZADO NATURAL, SEM GUARNICAO/ALIZAR/VISTA, 87 X 210 CM</t>
  </si>
  <si>
    <t>BUCHA DE NYLON SEM ABA S10, COM PARAFUSO DE 6,10 X 65 MM EM ACO ZINCADO COM ROSCA SOBERBA, CABECA CHATA E FENDA PHILLIPS</t>
  </si>
  <si>
    <t>GUARNICAO/MOLDURA DE ACABAMENTO PARA ESQUADRIA DE ALUMINIO ANODIZADO NATURAL, PARA 1 FACE</t>
  </si>
  <si>
    <t>VIDRACEIRO</t>
  </si>
  <si>
    <t>MASSA PARA VIDRO</t>
  </si>
  <si>
    <t>VIDRO LISO INCOLOR 6 MM - SEM COLOCACAO</t>
  </si>
  <si>
    <t>VIDRO TEMPERADO INCOLOR E = 6 MM, SEM COLOCACAO</t>
  </si>
  <si>
    <t>AUXILIAR DE ELETRICISTA</t>
  </si>
  <si>
    <t>ELETRICISTA</t>
  </si>
  <si>
    <t>HASTE DE ATERRAMENTO 3/4 PARA SPDA - FORNECIMENTO E INSTALAÇÃO. AF_12/2017</t>
  </si>
  <si>
    <t>HASTE DE ATERRAMENTO EM ACO COM 3,00 M DE COMPRIMENTO E DN = 3/4", REVESTIDA COM BAIXA CAMADA DE COBRE, SEM CONECTOR</t>
  </si>
  <si>
    <t>BASE PARA MASTRO DE PARA-RAIOS DIAMETRO NOMINAL 1 1/2"</t>
  </si>
  <si>
    <t>MASTRO SIMPLES GALVANIZADO DIAMETRO NOMINAL 1 1/2", COMPRIMENTO 3 M</t>
  </si>
  <si>
    <t>90998/SINAPI</t>
  </si>
  <si>
    <t>4.3.4 - CONCRETAGEM DE EDIFICAÇÕES (PAREDES E LAJES) FEITAS COM SISTEMA DE FÔRMAS MANUSEÁVEIS, COM CONCRETO USINADO BOMBEÁVEL FCK 25 MPA</t>
  </si>
  <si>
    <t>4.2.6 - CONCRETAGEM DE EDIFICAÇÕES (PAREDES E LAJES) FEITAS COM SISTEMA DE FÔRMAS MANUSEÁVEIS, COM CONCRETO USINADO BOMBEÁVEL FCK 25 MPA</t>
  </si>
  <si>
    <t>4.1.5 - CONCRETAGEM DE EDIFICAÇÕES (PAREDES E LAJES) FEITAS COM SISTEMA DE FÔRMAS MANUSEÁVEIS, COM CONCRETO USINADO BOMBEÁVEL FCK 25 MPA</t>
  </si>
  <si>
    <t>CONCRETAGEM DE EDIFICAÇÕES (PAREDES E LAJES) FEITAS COM SISTEMA DE FÔRMAS MANUSEÁVEIS, COM CONCRETO USINADO BOMBEÁVEL FCK 25 MPA</t>
  </si>
  <si>
    <t>CONCRETAGEM DE RADIER, PISO OU LAJE SOBRE SOLO, FCK 30 MPA, PARA ESPESSURA DE 20 CM - LANÇAMENTO, ADENSAMENTO E ACABAMENTO. AF_09/2017</t>
  </si>
  <si>
    <t>97096/SINAPI</t>
  </si>
  <si>
    <t xml:space="preserve">3.1.4 - CONCRETAGEM DE RADIER, PISO OU LAJE SOBRE SOLO, FCK 30 MPA, PARA ESPESSURA DE 20 CM </t>
  </si>
  <si>
    <t>VIBRADOR DE IMERSÃO, DIÂMETRO DE PONTEIRA 45MM, MOTOR ELÉTRICO TRIFÁSICO POTÊNCIA DE 2 CV - CHP DIURNO. AF_06/2015</t>
  </si>
  <si>
    <t>CONCRETO USINADO BOMBEAVEL, CLASSE DE RESISTENCIA C30, COM BRITA 0 E 1, SLUMP = 100 +/- 20 MM, INCLUI SERVICO DE BOMBEAMENTO (NBR 8953)</t>
  </si>
  <si>
    <t>CHP</t>
  </si>
  <si>
    <t>CHI</t>
  </si>
  <si>
    <t xml:space="preserve">90586/SINAPI </t>
  </si>
  <si>
    <t xml:space="preserve">90587/SINAPI </t>
  </si>
  <si>
    <t xml:space="preserve">1525/SINAPI </t>
  </si>
  <si>
    <t>CONCRETAGEM DE RADIER, PISO OU LAJE SOBRE SOLO, FCK 30 MPA, PARA ESPESSURA DE 20 CM</t>
  </si>
  <si>
    <t>3.1.1 - FABRICAÇÃO, MONTAGEM E DESMONTAGEM DE FORMA PARA RADIER, EM MADEIRA SERRADA, 4 UTILIZAÇÕES. AF_09/2017</t>
  </si>
  <si>
    <t>FABRICAÇÃO, MONTAGEM E DESMONTAGEM DE FORMA PARA RADIER, EM MADEIRA SERRADA, 4 UTILIZAÇÕES. AF_09/2017</t>
  </si>
  <si>
    <t>97086/SINAPI</t>
  </si>
  <si>
    <t>DESMOLDANTE PROTETOR PARA FORMAS DE MADEIRA, DE BASE OLEOSA EMULSIONADA EM AGUA</t>
  </si>
  <si>
    <t>2692/ SINAPI</t>
  </si>
  <si>
    <t>PONTALETE DE MADEIRA NAO APARELHADA *7,5 X 7,5* CM (3 X 3 ") PINUS, MISTA OU EQUIVALENTE DA REGIAO</t>
  </si>
  <si>
    <t>4491/SINAPI</t>
  </si>
  <si>
    <t>SARRAFO DE MADEIRA NAO APARELHADA *2,5 X 7,5* CM (1 X 3 ") PINUS, MISTA OU EQUIVALENTE DA REGIAO</t>
  </si>
  <si>
    <t>4517/SINAPI</t>
  </si>
  <si>
    <t>PREGO DE ACO POLIDO COM CABECA 17 X 21 (2 X 11)</t>
  </si>
  <si>
    <t>TABUA DE MADEIRA NAO APARELHADA *2,5 X 20* CM, CEDRINHO OU EQUIVALENTE DA REGIAO</t>
  </si>
  <si>
    <t>AJUDANTE DE CARPINTEIRO</t>
  </si>
  <si>
    <t xml:space="preserve"> CARPINTEIRO</t>
  </si>
  <si>
    <t>6193/SINAPI</t>
  </si>
  <si>
    <t>5068/SINAPI</t>
  </si>
  <si>
    <t>88239/SINAPI</t>
  </si>
  <si>
    <t>88262/SINAPI</t>
  </si>
  <si>
    <t>FABRICAÇÃO, MONTAGEM E DESMONTAGEM DE FORMA PARA RADIER</t>
  </si>
  <si>
    <t>FORMAS MANUSEÁVEIS PARA PAREDES DE CONCRETO MOLDADAS IN LOCO, DE EDIFICAÇÕES DE MULTIPLOS PAVIMENTOS, EM LAJES. AF_06/2015</t>
  </si>
  <si>
    <t>ARMAÇÃO DO SISTEMA DE PAREDES DE CONCRETO, EXECUTADA COMO ARMADURA NEGATIVA DE LAJES, TELA T-196.</t>
  </si>
  <si>
    <t>ARMAÇÃO DO SISTEMA DE PAREDES DE CONCRETO, EXECUTADA COMO ARMADURA POSITIVA DE LAJES, TELA Q-113</t>
  </si>
  <si>
    <t>CONTROLE TECNOLÓGICO DO CONCRETO</t>
  </si>
  <si>
    <t>4.1.1  -FORMAS MANUSEÁVEIS PARA PAREDES DE CONCRETO MOLDADAS IN LOCO, DE EDIFICAÇÕES DE MULTIPLOS PAVIMENTOS, EM LAJES.</t>
  </si>
  <si>
    <t>4.2.1 - FORMAS MANUSEÁVEIS PARA PAREDES DE CONCRETO MOLDADAS IN LOCO, DE EDIFICAÇÕES DE MULTIPLOS PAVIMENTOS, EM FACES INTERNAS DE PAREDES.</t>
  </si>
  <si>
    <t xml:space="preserve">FORMAS MANUSEÁVEIS PARA PAREDES DE CONCRETO MOLDADAS IN LOCO, DE EDIFICAÇÕES DE MULTIPLOS PAVIMENTOS, EM FACES INTERNAS DE PAREDES. </t>
  </si>
  <si>
    <t xml:space="preserve">FORMAS MANUSEÁVEIS PARA PAREDES DE CONCRETO MOLDADAS IN LOCO, DE EDIFICAÇÕES DE MULTIPLOS PAVIMENTOS, EM FACES INTERNAS DE PAREDES. AF_06/2015 </t>
  </si>
  <si>
    <t xml:space="preserve">FORMAS MANUSEÁVEIS PARA PAREDES DE CONCRETO MOLDADAS IN LOCO, DE EDIFICAÇÕES DE MULTIPLOS PAVIMENTOS, EM PANOS DE FACHADA COM VÃOS. AF_06/2015 </t>
  </si>
  <si>
    <t xml:space="preserve">4.2.2 - FORMAS MANUSEÁVEIS PARA PAREDES DE CONCRETO MOLDADAS IN LOCO, DE EDIFICAÇÕES DE MULTIPLOS PAVIMENTOS, EM PANOS DE FACHADA COM VÃOS. </t>
  </si>
  <si>
    <t xml:space="preserve">FORMAS MANUSEÁVEIS PARA PAREDES DE CONCRETO MOLDADAS IN LOCO, DE EDIFICAÇÕES DE MULTIPLOS PAVIMENTOS, EM PANOS DE FACHADA COM VÃOS. </t>
  </si>
  <si>
    <t>FORMAS MANUSEÁVEIS PARA PAREDES DE CONCRETO MOLDADAS IN LOCO, DE EDIFICAÇÕES DE MULTIPLOS PAVIMENTOS, EM PANOS DE FACHADA SEM VÃOS. AF_06/2015</t>
  </si>
  <si>
    <t xml:space="preserve">91002/SINAPI	</t>
  </si>
  <si>
    <t>4.2.3 -FORMAS MANUSEÁVEIS PARA PAREDES DE CONCRETO MOLDADAS IN LOCO, DE EDIFICAÇÕES DE MULTIPLOS PAVIMENTOS, EM PANOS DE FACHADA SEM VÃOS. AF_06/2015</t>
  </si>
  <si>
    <t xml:space="preserve">FORMAS MANUSEÁVEIS PARA PAREDES DE CONCRETO MOLDADAS IN LOCO, DE EDIFICAÇÕES DE MULTIPLOS PAVIMENTOS, EM PANOS DE FACHADA SEM VÃOS. </t>
  </si>
  <si>
    <t>ARMAÇÃO DO SISTEMA DE PAREDES DE CONCRETO, EXECUTADA COMO ARMADURA POSITIVA DE LAJES, TELA Q-138.</t>
  </si>
  <si>
    <t>FORMAS MANUSEÁVEIS PARA PAREDES DE CONCRETO MOLDADAS IN LOCO, DE EDIFICAÇÕES DE MULTIPLOS PAVIMENTO, EM PLATIBANDA.</t>
  </si>
  <si>
    <t xml:space="preserve">ARMAÇÃO DO SISTEMA DE PAREDES DE CONCRETO, EXECUTADA EM PAREDES DE EDIFICAÇÕES TÉRREAS OU DE MÚLTIPLOS PAVIMENTOS, TELA Q-92. </t>
  </si>
  <si>
    <t>98695/SINAPI</t>
  </si>
  <si>
    <t>SOLEIRA EM MÁRMORE, LARGURA 15 CM, ESPESSURA 2,0 CM. AF_06/2018</t>
  </si>
  <si>
    <t xml:space="preserve">7.3.2 -SOLEIRA EM MÁRMORE, LARGURA 15 CM, ESPESSURA 2,0 CM. </t>
  </si>
  <si>
    <t>SOLEIRA EM MÁRMORE, LARGURA 15 CM, ESPESSURA 2,0 CM</t>
  </si>
  <si>
    <t>SOLEIRA/ PEITORIL EM MARMORE, POLIDO, BRANCO COMUM, L= *15* CM, E= *2* CM, CORTE RETO</t>
  </si>
  <si>
    <t>PEITORIL EM MARMORE BRANCO, LARGURA DE 15CM, ASSENTADO COM ARGAMASSA TRACO 1:4 (CIMENTO E AREIA MEDIA), PREPARO MANUAL DA ARGAMASSA</t>
  </si>
  <si>
    <t>84088/SINAPI</t>
  </si>
  <si>
    <t>PEITORIL EM MARMORE, POLIDO, BRANCO COMUM, L= *15* CM, E= *3* CM, CORTE RETO</t>
  </si>
  <si>
    <t>ARGAMASSA TRAÇO 1:4 (EM VOLUME DE CIMENTO E AREIA MÉDIA ÚMIDA), PREPARO MANUAL. AF_08/2019</t>
  </si>
  <si>
    <t>7.4.1 - PEITORIL EM MARMORE BRANCO, LARGURA DE 15CM</t>
  </si>
  <si>
    <t xml:space="preserve"> PEITORIL EM MARMORE BRANCO, LARGURA DE 15CM</t>
  </si>
  <si>
    <t xml:space="preserve">88631/SINAPI </t>
  </si>
  <si>
    <t xml:space="preserve">4826/SINAPI </t>
  </si>
  <si>
    <t>PINTOR</t>
  </si>
  <si>
    <t>APLICAÇÃO E LIXAMENTO DE MASSA LÁTEX EM PAREDES, DUAS DEMÃOS. AF_06/2014</t>
  </si>
  <si>
    <t>LIXA EM FOLHA PARA PAREDE OU MADEIRA, NUMERO 120 (COR VERMELHA)</t>
  </si>
  <si>
    <t>MASSA CORRIDA PVA PARA PAREDES INTERNAS</t>
  </si>
  <si>
    <t>18L</t>
  </si>
  <si>
    <t xml:space="preserve">8.1.1 -APLICAÇÃO E LIXAMENTO DE MASSA LÁTEX EM PAREDES, DUAS DEMÃOS. </t>
  </si>
  <si>
    <t xml:space="preserve">APLICAÇÃO E LIXAMENTO DE MASSA LÁTEX EM PAREDES, DUAS DEMÃOS. </t>
  </si>
  <si>
    <t>9.2.1 - APLICAÇÃO MANUAL DE PINTURA COM TINTA LÁTEX PVA EM PAREDES, DUAS DEMÃOS.</t>
  </si>
  <si>
    <t xml:space="preserve">TINTA LATEX PVA PREMIUM, COR BRANCA </t>
  </si>
  <si>
    <t xml:space="preserve">6.1.1 - IMPERMEABILIZAÇÃO DE SUPERFÍCIE COM EMULSÃO ASFÁLTICA, 2 DEMÃOS </t>
  </si>
  <si>
    <t>IMPERMEABILIZAÇÃO DE SUPERFÍCIE COM EMULSÃO ASFÁLTICA, 2 DEMÃOS AF_06/2018</t>
  </si>
  <si>
    <t>98557/SINAPI</t>
  </si>
  <si>
    <t>AJUDANTE ESPECIALIZADO</t>
  </si>
  <si>
    <t>IMPERMEABILIZADOR</t>
  </si>
  <si>
    <t>88243/SINAPI</t>
  </si>
  <si>
    <t>88270/SINAPI</t>
  </si>
  <si>
    <t>626/SINAPI</t>
  </si>
  <si>
    <t>MANTA LIQUIDA DE BASE ASFALTICA MODIFICADA COM A ADICAO DE ELASTOMEROS DILUIDOS EM SOLVENTE ORGANICO, APLICACAO A FRIO (MEMBRANA IMPERMEABILIZANTE ASFASTICA)</t>
  </si>
  <si>
    <t xml:space="preserve"> IMPERMEABILIZAÇÃO DE SUPERFÍCIE COM EMULSÃO ASFÁLTICA, 2 DEMÃOS </t>
  </si>
  <si>
    <t>9.3.1 - FORRO EM PLACAS DE GESSO, PARA AMBIENTES RESIDENCIAIS. AF_05/2017_P</t>
  </si>
  <si>
    <t>GESSEIRO</t>
  </si>
  <si>
    <t>88269/SINAPI</t>
  </si>
  <si>
    <t>ARAME GALVANIZADO 18 BWG, D = 1,24MM (0,009 KG/M)</t>
  </si>
  <si>
    <t>GESSO EM PO PARA REVESTIMENTOS/MOLDURAS/SANCAS</t>
  </si>
  <si>
    <t>PLACA DE GESSO PARA FORRO, DE *60 X 60* CM E ESPESSURA DE 12 MM (30 MM NAS BORDAS) SEM COLOCACAO</t>
  </si>
  <si>
    <t>SISAL EM FIBRA</t>
  </si>
  <si>
    <t>PARAFUSO ZINCADO, AUTOBROCANTE, FLANGEADO, 4,2 MM X 19 MM</t>
  </si>
  <si>
    <t>CENTRO</t>
  </si>
  <si>
    <t xml:space="preserve"> FORRO EM PLACAS DE GESSO, PARA AMBIENTES RESIDENCIAIS</t>
  </si>
  <si>
    <t>Alvenaria pedra calcárea argamassada c/ cimento e areia traço t-4 (1:5) - 1 saco cimento 50kg / 5 padiolas areia dim. 0,35z0,45x0,23m - Confecção mecânica e transporte</t>
  </si>
  <si>
    <t>00091/ORSE</t>
  </si>
  <si>
    <t>00096/ORSE</t>
  </si>
  <si>
    <t>11357/ORSE</t>
  </si>
  <si>
    <t xml:space="preserve"> Muro em alvenaria bloco cimento, e= 0,09m, c/ alv de pedra 0,35 x 0,60m, colunas concreto armado fck = 15,0mpa cada 3,00m, exclusive chapisco, reboco e pintura</t>
  </si>
  <si>
    <t>00115/ORSE</t>
  </si>
  <si>
    <t>00140/ORSE</t>
  </si>
  <si>
    <t>00160/ORSE</t>
  </si>
  <si>
    <t>Concreto simples usinado fck=15mpa, bombeado, lançado e adensado em superestrura</t>
  </si>
  <si>
    <t>Forma plana para estruturas, em compensado resinado de 12mm, 02 usos, inclusive escoramento - Revisada 07.2015</t>
  </si>
  <si>
    <t>Aço CA - 50 Ø 6,3 a 12,5mm, inclusive corte, dobragem, montagem e colocacao de ferragens nas formas, para superestruturas e fundações - R1</t>
  </si>
  <si>
    <t>Alvenaria bloco concreto vedação 9x19x39cm, e= 0,09m, com argamassa traço t5 - 1:2:8 (cimento/cal/areia), junta de 1,0cm - Rev.06</t>
  </si>
  <si>
    <t>ESCAVACAO MECANICA CAMPO ABERTO EM SOLO EXCETO ROCHA ATE 2,00M PROFUNDIDADE</t>
  </si>
  <si>
    <t>1.1.2 - ESCAVACAO MECANICA CAMPO ABERTO EM SOLO EXCETO ROCHA ATE 2,00M PROFUNDIDADE</t>
  </si>
  <si>
    <t>TRATOR DE ESTEIRAS, POTÊNCIA 100 HP, PESO OPERACIONAL 9,4 T, COM LÂMINA 219 M3 - CHP DIURNO. AF_06/2014</t>
  </si>
  <si>
    <t>89032/SINAPI</t>
  </si>
  <si>
    <t>79480/SINAPI</t>
  </si>
  <si>
    <t>2.1.1 -    MURO EM ALVENARIA BLOCO CIMENTO, E= 0,09M, C/ ALV DE PEDRA 0,35 X 0,60M, COLUNAS CONCRETO ARMADO FCK = 15,0MPA CADA 3,00M.</t>
  </si>
  <si>
    <t>MURO EM ALVENARIA BLOCO CIMENTO, E= 0,09M, C/ ALV DE PEDRA 0,35 X 0,60M, COLUNAS CONCRETO ARMADO FCK = 15,0MPA CADA 3,00M.</t>
  </si>
  <si>
    <t>LOCAÇÃO E EXECUÇÃO DE GABARITO</t>
  </si>
  <si>
    <t>OUTROS SERVIÇOS DE TERRAPLENAGEM (INCLUINDO ÁREA SOCIAL COMUM)</t>
  </si>
  <si>
    <t>ESCADA PRÉ-MOLDADA DE CONCRETO ARMADO</t>
  </si>
  <si>
    <t>TRANSPORTE E IÇAMENTO DA ESCADA PRÉ-MOLDADA COM CAMINÃO MUNCK (GUINDALTO)</t>
  </si>
  <si>
    <t xml:space="preserve">FORNECIMENTO/INSTALACAO LONA PLASTICA PRETA, PARA IMPERMEABILIZACAO, ESPESSURA 150 MICRAS. </t>
  </si>
  <si>
    <t>MADEIRAMENTO EM MASSARANDUBA/MADEIRA DE LEI, PEÇA SERRADA 5CM X 11CM, P/ TELHA ONDULADA ETERNIT 8 MM</t>
  </si>
  <si>
    <t>5.1.1 - ESTRUTURA DE MADEIRA PARA TELHA ONDULADA DE FIBROCIMENTO, APOIADA OU ANCORADA EM LAJE OU PAREDE</t>
  </si>
  <si>
    <t>ESTRUTURA DE MADEIRA PARA TELHA ONDULADA DE FIBROCIMENTO, APOIADA OU ANCORADA EM LAJE OU PAREDE</t>
  </si>
  <si>
    <t>Madeiramento em massaranduba/madeira de lei, peça serrada 5cm x 11cm com abertura de encaixes</t>
  </si>
  <si>
    <t>03649/ORSE</t>
  </si>
  <si>
    <t>00202/ORSE</t>
  </si>
  <si>
    <t>Telhamento com telha de fibrocimento estrutural, dim: 3,00x1,06m, esp=8 mm, Etermax, Maxiplac ou similar</t>
  </si>
  <si>
    <t>Telha fibrocimento estrutural, dim: 3,00 x 1,06m, esp=8 mm, s/ acessorios (Etermax, Maxiplac ou similar)</t>
  </si>
  <si>
    <t xml:space="preserve"> Separador de espuma</t>
  </si>
  <si>
    <t xml:space="preserve"> 04422/ORSE</t>
  </si>
  <si>
    <t>Conjunto arruelas de vedacao 5/16" para telha fibrocimento (uma arruela metalica e uma arruela pvc - conicas)</t>
  </si>
  <si>
    <t xml:space="preserve"> Parafuso zincado rosca soberba, cabeca sextavada, 5/16 " x 180 mm, para fixacao de telha em madeira</t>
  </si>
  <si>
    <t>04424/ORSE</t>
  </si>
  <si>
    <t xml:space="preserve"> 01607/SINAPI</t>
  </si>
  <si>
    <t>04305/SINAPI</t>
  </si>
  <si>
    <t>cj</t>
  </si>
  <si>
    <t xml:space="preserve">
COBERTURA COM TELHA DE FIBROCIMENTO, UMA ÁGUA, PERFIL ONDULADO, E= 8MM, I= 18%
</t>
  </si>
  <si>
    <t>5.3.1 -RUFO EM CHAPA DE AÇO GALVANIZADO NÚMERO 24, CORTE DE 25 CM, INCLUSO TRANSPORTE VERTICAL. AF_07/2019</t>
  </si>
  <si>
    <t>94231/SINAPI</t>
  </si>
  <si>
    <t>Rufo em chapa de aço galvanizado nº 24</t>
  </si>
  <si>
    <t xml:space="preserve">TELHADISTA </t>
  </si>
  <si>
    <t>88323/SINAPI</t>
  </si>
  <si>
    <t>SELANTE ELASTICO MONOCOMPONENTE A BASE DE POLIURETANO (PU) PARA JUNTAS DIVERSAS</t>
  </si>
  <si>
    <t>142/SINAPI</t>
  </si>
  <si>
    <t>310ML</t>
  </si>
  <si>
    <t>PREGO DE ACO POLIDO COM CABECA 18 X 27 (2 1/2 X 10)</t>
  </si>
  <si>
    <t>REBITE DE ALUMINIO VAZADO DE REPUXO, 3,2 X 8 MM (1KG = 1025 UNIDADES)</t>
  </si>
  <si>
    <t>SOLDA EM BARRA DE ESTANHO-CHUMBO 50/50</t>
  </si>
  <si>
    <t>RUFO INTERNO/EXTERNO DE CHAPA DE ACO GALVANIZADA NUM 24, CORTE 25 CM</t>
  </si>
  <si>
    <t>5061/SINAPI</t>
  </si>
  <si>
    <t>5104/SINAPI</t>
  </si>
  <si>
    <t>13388/SINAPI</t>
  </si>
  <si>
    <t xml:space="preserve"> 40873/SINAPI</t>
  </si>
  <si>
    <t>GUINCHO ELÉTRICO DE COLUNA, CAPACIDADE 400 KG, COM MOTO FREIO, MOTOR TRIFÁSICO DE 1,25 CV - CHP DIURNO. AF_03/2016</t>
  </si>
  <si>
    <t>GUINCHO ELÉTRICO DE COLUNA, CAPACIDADE 400 KG, COM MOTO FREIO, MOTOR TRIFÁSICO DE 1,25 CV - CHI DIURNO. AF_03/2016</t>
  </si>
  <si>
    <t>93281/SINAPI</t>
  </si>
  <si>
    <t>93282/SINAPI</t>
  </si>
  <si>
    <t>RUFO EM CHAPA DE AÇO GALVANIZADO NÚMERO 24, CORTE DE 25 CM, INCLUSO TRANSPORTE VERTICAL</t>
  </si>
  <si>
    <t>CALHA EM CHAPA DE AÇO GALVANIZADO NÚMERO 24, DESENVOLVIMENTO DE 50 CM, INCLUSO TRANSPORTE VERTICAL.</t>
  </si>
  <si>
    <t>5.3.2 - CALHA EM CHAPA DE AÇO GALVANIZADO NÚMERO 24, DESENVOLVIMENTO DE 50 CM, INCLUSO TRANSPORTE VERTICAL. AF_07/2019</t>
  </si>
  <si>
    <t>CALHA de chapa galvanizada n° 24</t>
  </si>
  <si>
    <t xml:space="preserve">CALHA QUADRADA DE CHAPA DE ACO GALVANIZADA NUM 24, CORTE 50 CM </t>
  </si>
  <si>
    <t>40783/SINAPI</t>
  </si>
  <si>
    <t>IMPERMEABILIZAÇÃO DE SANITÁRIOS COM REVESTIMENTO BICOMPONENTE SEMI FLEXÍVEL - ARGAMASSA POLIMÉRICA (PISO, PAREDE DO BOX, E DEMAIS PAREDES ATÉ ALTURA DE 30CM)</t>
  </si>
  <si>
    <t>Regularização c/ argamassa c/ adesivo resistente</t>
  </si>
  <si>
    <t>REGULARIZAÇÃO COM ARGAMASSA COM ADESIVO RESISTENTE</t>
  </si>
  <si>
    <t>7.1.1 - REGULARIZAÇÃO COM ARGAMASSA COM ADESIVO RESISTENTE</t>
  </si>
  <si>
    <t>02335/ORSE</t>
  </si>
  <si>
    <t xml:space="preserve"> Adesivo sikafix (sika) - p/ argamassa e pasta de cimento - ou similar</t>
  </si>
  <si>
    <t xml:space="preserve"> 00139/ORSE</t>
  </si>
  <si>
    <t xml:space="preserve"> Areia grossa - posto jazida/fornecedor (retirado na jazida,sem transporte)</t>
  </si>
  <si>
    <t>01379/SINAPI</t>
  </si>
  <si>
    <t xml:space="preserve"> 00367/SINAPI</t>
  </si>
  <si>
    <t>CONTRAPISO EM ARGAMASSA PRONTA APLICADO EM ÁREAS SECAS, ADERIDO (E= 3CM)</t>
  </si>
  <si>
    <t>CONTRAPISO EM ARGAMASSA PRONTA APLICADO EM ÁREAS MOLHADAS, ADERIDO (E= 3CM)</t>
  </si>
  <si>
    <t>7.1.3 - CONTRAPISO EM ARGAMASSA PRONTA APLICADO EM ÁREAS MOLHADAS, ADERIDO (E= 3CM)</t>
  </si>
  <si>
    <t>Revestimento cerâmico para piso ou parede, 60 x 60 cm, linha Bianco Plus polido (porcelanato), cor bege, Eliane ou similar, aplicado com argamassa industrializada AC-III, rejuntado com epoxi, exclusive regularização de base ou emboço</t>
  </si>
  <si>
    <t>07767/ORSE</t>
  </si>
  <si>
    <t>7.2.1 - REVESTIMENTO CERÂMICO PARA PISO OU PAREDE, 60 X 60 CM, LINHA BIANCO PLUS POLIDO (PORCELANATO), APLICADO COM ARGAMASSA INDUSTRIALIZADA AC-III.</t>
  </si>
  <si>
    <t>REVESTIMENTO CERÂMICO PARA PISO OU PAREDE, 60 X 60 CM, LINHA BIANCO PLUS POLIDO (PORCELANATO), APLICADO COM ARGAMASSA INDUSTRIALIZADA AC-III.</t>
  </si>
  <si>
    <t>Cerâmica 60 x 60 cm, Eliane, cor bege, linha Bianco Plus polido (porcelanato) ou similar</t>
  </si>
  <si>
    <t>07403/ORSE</t>
  </si>
  <si>
    <t>Rejunte com argamassa epóxi p/revestimentos cerâmicos, porcelanatos e pedras especiais, Kit Epóxi Fino Toque, Portokoll ou similar</t>
  </si>
  <si>
    <t>Argamassa industrializada AC-III, Votomassa ou similar</t>
  </si>
  <si>
    <t>04303/ORSE</t>
  </si>
  <si>
    <t>07404/ORSE</t>
  </si>
  <si>
    <t>APLICAÇÃO MANUAL DE PINTURA COM TINTA TEXTURIZADA ACRÍLICA EM PANOS COM PRESENÇA DE VÃOS DE EDIFÍCIOS DE MÚLTIPLOS PAVIMENTOS, UMA COR. AF_06/2014</t>
  </si>
  <si>
    <t>8.2.1 - APLICAÇÃO MANUAL DE PINTURA COM TINTA TEXTURIZADA ACRÍLICA EM PANOS COM PRESENÇA DE VÃOS DE EDIFÍCIOS DE MÚLTIPLOS PAVIMENTOS (hall de entrada)</t>
  </si>
  <si>
    <t>88416/SINAPI</t>
  </si>
  <si>
    <t>MASSA PARA TEXTURA LISA DE BASE ACRILICA, USO INTERNO E EXTERNO</t>
  </si>
  <si>
    <t>88316/SINAPI</t>
  </si>
  <si>
    <t>88310/SINAPI</t>
  </si>
  <si>
    <t>4051/ORSE</t>
  </si>
  <si>
    <t>3767/ORSE</t>
  </si>
  <si>
    <t>38877/SINAPI</t>
  </si>
  <si>
    <t>APLICAÇÃO MANUAL DE PINTURA COM TINTA LÁTEX PVA EM PAREDES, DUAS DEMÃOS. AF_06/2014</t>
  </si>
  <si>
    <t>8.2.2 -APLICAÇÃO MANUAL DE PINTURA COM TINTA LÁTEX PVA EM PAREDES, DUAS DEMÃOS. (apartamentos)</t>
  </si>
  <si>
    <t>APLICAÇÃO MANUAL DE PINTURA COM TINTA LÁTEX PVA EM PAREDES, DUAS DEMÃOS.(apartamentos)</t>
  </si>
  <si>
    <t>TINTA LATEX PVA PREMIUM, COR BRANCA</t>
  </si>
  <si>
    <t xml:space="preserve">7345/SINAPI </t>
  </si>
  <si>
    <t>88487/SINAPI</t>
  </si>
  <si>
    <t xml:space="preserve">9.1.1 - APLICAÇÃO MANUAL DE GESSO DESEMPENADO </t>
  </si>
  <si>
    <t xml:space="preserve">APLICAÇÃO MANUAL DE GESSO DESEMPENADO </t>
  </si>
  <si>
    <t>CERÂMICA COMUM EM PLACA 40X40CM, ASSENTADA COM ARGAMASSA PRÉ-FABRICADA DE CIMENTO COLANTE E REJUNTAMENTO COM CIMENTO BRANCO (BANHEIROS E COZINHA)</t>
  </si>
  <si>
    <t>3315/SINAPI</t>
  </si>
  <si>
    <t>10.1.1 - EMASSAMENTO DE SUPERFÍCIE, COM APLICAÇÃO DE 02 DEMÃOS DE MASSA ACRÍLICA, LIXAMENTO E RETOQUES - REV 01</t>
  </si>
  <si>
    <t>EMASSAMENTO DE SUPERFÍCIE, COM APLICAÇÃO DE 02 DEMÃOS DE MASSA ACRÍLICA, LIXAMENTO E RETOQUES - REV 01</t>
  </si>
  <si>
    <t>08624/ORSE</t>
  </si>
  <si>
    <t>Massa acrílica</t>
  </si>
  <si>
    <t>L</t>
  </si>
  <si>
    <t>01602/ORSE</t>
  </si>
  <si>
    <t>03767/SINAPI</t>
  </si>
  <si>
    <t xml:space="preserve">Lixa para superfície madeira/massa grana 120 </t>
  </si>
  <si>
    <t>10.2.1 - APLICAÇÃO DE 01 DEMÃO DE TEXTURA ACRÍLICA</t>
  </si>
  <si>
    <t>APLICAÇÃO DE 01 DEMÃO DE TEXTURA ACRÍLICA</t>
  </si>
  <si>
    <t>APLICAÇÃO DE UMA DEMÃO DE TEXTURA ACRÍLICA</t>
  </si>
  <si>
    <t>EMASSAMENTO DE SUPERFÍCIE, COM APLICAÇÃO DE DUAS DEMÃOS DE MASSA ACRÍLICA</t>
  </si>
  <si>
    <t>02283/ORSE</t>
  </si>
  <si>
    <t>96109/SINAPI</t>
  </si>
  <si>
    <t>02210/ORSE</t>
  </si>
  <si>
    <t>TINTA TEXTURA ACRÍLICA</t>
  </si>
  <si>
    <t>PORTA DE MADEIRA PARA VERNIZ, SEMI-OCA (LEVE OU MÉDIA), 70X210CM, ESPESSURA DE 3,5CM, INCLUSO DOBRADIÇAS - FORNECIMENTO E INSTALAÇÃO. AF_12/2019</t>
  </si>
  <si>
    <t>11.1.1 - PORTA INTERNA DE MADEIRA, COLOCAÇÃO E ACABAMENTO, UMA FOLHA COM BATENTE, GUARNIÇÃO E FERRAGEM (0,70X2,10M)</t>
  </si>
  <si>
    <t>PORTA INTERNA DE MADEIRA, COLOCAÇÃO E ACABAMENTO, UMA FOLHA COM BATENTE, GUARNIÇÃO E FERRAGEM (0,70X2,10M)</t>
  </si>
  <si>
    <t>PORTA INTERNA DE MADEIRA, COLOCAÇÃO E ACABAMENTO, UMA FOLHA COM BATENTE, GUARNIÇÃO E FERRAGEM (0,70X2,10M) (0,80x2,10m)</t>
  </si>
  <si>
    <t>PORTA INTERNA DE MADEIRA, COLOCAÇÃO E ACABAMENTO, UMA FOLHA COM BATENTE, GUARNIÇÃO E FERRAGEM (0,70X2,10M) (0,90x2,10m)</t>
  </si>
  <si>
    <t>CARPINTEIRO DE ESQUADRIA</t>
  </si>
  <si>
    <t>Dobradica em aco/ferro, 3 1/2" x 3", e= 1,9 a 2 mm, com anel, cromado ou zincado, tampa bola, com parafusos</t>
  </si>
  <si>
    <t>02432/SINAPI</t>
  </si>
  <si>
    <t>Parafuso rosca soberba zincado cabeca chata fenda simples 3,5 x 25 mm (1 ")</t>
  </si>
  <si>
    <t xml:space="preserve"> 11055/SINAPI</t>
  </si>
  <si>
    <t>04981/SINAPI</t>
  </si>
  <si>
    <t>Porta de madeira, folha media (nbr 15930) de 70 x 210 cm, e= 35 mm, nucleo sarrafeado, capa lisa em hdf, acabamento emlaminado natural para verniz</t>
  </si>
  <si>
    <t>Porta de madeira para verniz, semi-oca (leve ou média), 80x210cm, espessura de 3,5cm, incluso dobradiças - fornecimento e instalação. af_12/2019</t>
  </si>
  <si>
    <t>04992/SINAPI</t>
  </si>
  <si>
    <t>Porta de madeira, folha media (nbr 15930) de 80 x 210 cm, e= 35 mm, nucleo sarrafeado, capa lisa em hdf, acabamento emlaminado natural para verniz</t>
  </si>
  <si>
    <t>Porta de madeira, folha pesada (nbr 15930) de 90 x 210 cm, e = 35 mm, nucleo solido, capa lisa em hdf, acabamento em primer para pintura</t>
  </si>
  <si>
    <t>39505/SINAPI</t>
  </si>
  <si>
    <t>6082/SINAPI</t>
  </si>
  <si>
    <t>PINTURA EM VERNIZ SINTETICO BRILHANTE EM MADEIRA, TRES DEMAOS</t>
  </si>
  <si>
    <t xml:space="preserve">PINTURA COM VERNIZ EM ESQUADRIA DE MADEIRA, COM 3 DEMÃOS
</t>
  </si>
  <si>
    <t>SOLVENTE DILUENTE A BASE DE AGUARRAS</t>
  </si>
  <si>
    <t>10481 /SINAPI</t>
  </si>
  <si>
    <t>VERNIZ SINTETICO BRILHANTE PARA MADEIRA, COM FILTRO SOLAR, USO INTERNO E EXTERNO</t>
  </si>
  <si>
    <t>ADAPTADO SINAPI</t>
  </si>
  <si>
    <t>3767/SINAPI</t>
  </si>
  <si>
    <t>5318/SINAPI</t>
  </si>
  <si>
    <t>JANELA DE ALUMÍNIO PADRONIZADA, COLOCAÇÃO E ACABAMENTO, MAXIM-AR, COM UMA SEÇÃO E VIDRO (0,80X0,80M)</t>
  </si>
  <si>
    <t>JANELA DE ALUMÍNIO DE CORRER COM 2 FOLHAS PARA VIDROS, COM VIDROS, BATENTE, ACABAMENTO COM ACETATO OU BRILHANTE E FERRAGENS. EXCLUSIVE ALIZAR E CONTRAMARCO. FORNECIMENTO E INSTALAÇÃO. AF_12/2019</t>
  </si>
  <si>
    <t>94570/SINAPI</t>
  </si>
  <si>
    <t>PARAFUSO DE ACO ZINCADO COM ROSCA SOBERBA, CABECA CHATA E FENDA SIMPLES, DIAMETRO 4,2 MM, COMPRIMENTO * 32 * MM</t>
  </si>
  <si>
    <t>JANELA DE CORRER EM ALUMINIO, 120 X 120 CM (A X L), 2 FLS, SEM BANDEIRA, ACABAMENTO ACET OU BRILHANTE, BATENTE/REQUADRO DE 6 A 14 CM, COM VIDRO, SEM GUARNICAO/ALIZAR</t>
  </si>
  <si>
    <t>SILICONE ACETICO USO GERAL INCOLOR 280 G</t>
  </si>
  <si>
    <t>PORTA DE CORRER DE ALUMÍNIO, COM DUAS FOLHAS PARA VIDRO, INCLUSO VIDRO LISO INCOLOR, FECHADURA E PUXADOR, SEM ALIZAR. AF_12/2019</t>
  </si>
  <si>
    <t xml:space="preserve"> Selante elastico monocomponente a base de poliuretano (pu) para juntas diversas</t>
  </si>
  <si>
    <t>Porta de correr em aluminio, duas folhas moveis com vidro, fechadura e puxador embutido, acabamento anodizado natural, sem guarnicao/alizar/vista</t>
  </si>
  <si>
    <t>04922/SINAPI</t>
  </si>
  <si>
    <t>00142/SINAPI</t>
  </si>
  <si>
    <t>Bucha de nylon sem aba s10, com parafuso de 6,10 x 65 mm emaco zincado com rosca soberba, cabeca chata e fenda phillips</t>
  </si>
  <si>
    <t>07568/SINAPI</t>
  </si>
  <si>
    <t>Guarnicao/moldura de acabamento para esquadria de aluminio anodizado natural, para 1 face</t>
  </si>
  <si>
    <t>M²</t>
  </si>
  <si>
    <t>JANELA DE ALUMÍNIO PADRONIZADA, COLOCAÇÃO E ACABAMENTO, DE CORRER, COM DUAS FOLHAS E VIDRO (1,20X1,20M)</t>
  </si>
  <si>
    <t>RODAPÉ EM MÁRMORE BRANCO ASSENTADO COM ARGAMASSA PRÉ-FABRICADA DE CIMENTO COLANTE, ALTURA DE 7CM(áreas secas e hall de entrada)</t>
  </si>
  <si>
    <t>FILETE DE BANHEIRO EM MÁRMORE BRANCO</t>
  </si>
  <si>
    <t>PORTA EXTERNA DE ALUMÍNIO DE CORRER, COLOCAÇÃO E ACABAMENTO COM DUAS FOLHAS (1,30X2,10M)</t>
  </si>
  <si>
    <t xml:space="preserve"> Corrimão em tubo ferro galvanizado, alt=0,92m, com barras verticais dupla (2") e barras horizontais nas extremidades de 2", inclusive curva em aço (padrão) - para deficientes físicos</t>
  </si>
  <si>
    <t>CORRIMÃO TUBULAR DE FERRO GALVANIZADO (Ø= 2") PARA AS ESCADAS</t>
  </si>
  <si>
    <t>Concreto simples fck= 15 MPA (b1/b2), fabricado na obra, sem lançamento e adensamento</t>
  </si>
  <si>
    <t>36888/SINAPI</t>
  </si>
  <si>
    <t>100702/SINAPI</t>
  </si>
  <si>
    <t>Corrimão em tubo ferro galvanizado, alt=0,92m, com barras verticais dupla (2") e barras horizontais nas extremidades de 2", inclusive curva em aço (padrão) - para deficientes físicos</t>
  </si>
  <si>
    <t>00125/ORSE</t>
  </si>
  <si>
    <t xml:space="preserve"> 11787/ORSE</t>
  </si>
  <si>
    <t xml:space="preserve"> Interruptor simples (1 módulo) com 1 tomada de embutir 2p+t 10 a, incluindo suporte e placa - fornecimento e instalação. af_12/2015</t>
  </si>
  <si>
    <t>Suporte parafusado com placa de encaixe 4" x 2" médio (1,30 m do piso) para ponto elétrico - fornecimento e instalação. af_12/2015</t>
  </si>
  <si>
    <t xml:space="preserve"> Interruptor simples (1 módulo) com 1 tomada de embutir 2p+t 10 a, sem suporte e sem placa - fornecimento e instalação. af_12/2015</t>
  </si>
  <si>
    <t>92022/SINAPI</t>
  </si>
  <si>
    <t>91946/SINAPI</t>
  </si>
  <si>
    <t>14.2.4 - 'Instalação de  interruptores e tomadas: Pial linha plus, Pame linha lounge ou Alumbra linha bari na cor branca</t>
  </si>
  <si>
    <t>INSTALAÇÃO DE  INTERRUPTORES E TOMADAS: PIAL LINHA PLUS, PAME LINHA LOUNGE OU ALUMBRA LINHA BARI NA COR BRANCA</t>
  </si>
  <si>
    <t>PORTA EXTERNA DE ALUMÍNIO DE ABRIR TIPO VENEZIANA COM GUARNIÇÃO E FIXAÇÃO (0,90X1,75M)</t>
  </si>
  <si>
    <t>VIDRO CRISTAL COMUM LISO (E= 6MM) - PARA JANELAS 1,00X1,20M</t>
  </si>
  <si>
    <t>VIDRO CRISTAL COMUM LISO (E= 6MM) - PARA JANELAS 0,40X0,40M</t>
  </si>
  <si>
    <t>VIDRO TEMPERADO (E= 6MM) - PARA PORTA DE CORRER 1,30X2,10M</t>
  </si>
  <si>
    <t>01678/ORSE</t>
  </si>
  <si>
    <t>02036/ORSE</t>
  </si>
  <si>
    <t>01703/ORSE</t>
  </si>
  <si>
    <t>Tubo pvc serie normal, dn 50 mm, para esgoto predial (nbr 5688)</t>
  </si>
  <si>
    <t>09838/SINAPI</t>
  </si>
  <si>
    <t>Estopa</t>
  </si>
  <si>
    <t>Tubo pvc serie normal, dn 100 mm, para esgoto predial (nbr 5688)</t>
  </si>
  <si>
    <t xml:space="preserve"> 09836/SINAPI</t>
  </si>
  <si>
    <t>Joelho pvc, soldavel, pb, 90 graus, dn 100 mm, para esgoto predial</t>
  </si>
  <si>
    <t>03520/SINAPI</t>
  </si>
  <si>
    <t>Juncao de reducao invertida, pvc soldavel, 100 x 50 mm, serie normal para esgoto predial</t>
  </si>
  <si>
    <t>10908/SINAPI</t>
  </si>
  <si>
    <t>MEDIDOR DE GÁS INDIVIDUAL</t>
  </si>
  <si>
    <t>PONTO DE GÁS DE COZINHA COM TUBO COBRE SOLDÁVEL PARA 02 BOTIJÕES, REGISTRO OU REGULADOR, EXCLUSIVE BOTIJÕES</t>
  </si>
  <si>
    <t>HASTE DE ATERRAMENTO 3/4 PARA SPDA - FORNECIMENTO E INSTALAÇÃO</t>
  </si>
  <si>
    <t>CAIXA DE EQUIPOTENCIALIZAÇÃO EM AÇO 200X200X90MM, PARA EMBUTIR COM TAMPA, COM 9 TERMINAIS, REF:TEL-901 OU SIMILAR (SPDA)</t>
  </si>
  <si>
    <t>BASE METÁLICA PARA MASTRO 1 ½ PARA SPDA - FORNECIMENTO E INSTALAÇÃO</t>
  </si>
  <si>
    <t>MASTRO 1 ½ PARA SPDA - FORNECIMENTO E INSTALAÇÃO</t>
  </si>
  <si>
    <t>PONTO DE ILUMINAÇÃO RESIDENCIAL INCLUINDO INTERRUPTOR SIMPLES, CAIXA ELÉTRICA, ELETRODUTO, CABO, RASGO, QUEBRA E CHUMBAMENTO (EXCLUINDO LUMINÁRIA E LÂMPADA).</t>
  </si>
  <si>
    <t>PONTO DE TOMADA 2P+T DE SOBREPOR, 10 A, DE USO GERAL, ABNT, C/CANALETA PLASTICA 20X10MM,"SISTEMA X", INCLUSIVE ATERRAMENTO</t>
  </si>
  <si>
    <t>PONTO EMBUTIDO CIGARRA CAMPAINHA CAIXA 4" X 2" C/ ELETRODUTO PVC RÍGIDO Ø 3/4"</t>
  </si>
  <si>
    <t>QUADRO DE DISTRIBUIÇÃO DE EMBUTIR, EM CHAPA DE AÇO, PARA ATÉ 12 DISJUNTORES, COM BARRAMENTO, PADRÃO DIN, EXCLUSIVE DISJUNTORES</t>
  </si>
  <si>
    <t>MÓDULO PARA 24 MEDIDORES COM BARRAMENTO, 1500 X 2600 X 200MM, EM CHAPA DE AÇO GALVANIZADA PINTADA ELETROSTATICAMENTE</t>
  </si>
  <si>
    <t>KIT CAVALETE PARA MEDIÇÃO DE ÁGUA - ENTRADA INDIVIDUALIZADA, EM PVC DN 25 (¾?), PARA 4 MEDIDORES -FORNECIMENTO E INSTALAÇÃO (EXCLUSIVE HIDRÔMETRO)</t>
  </si>
  <si>
    <t>PONTO DE ESGOTO COM TUBO DE PVC RÍGIDO SOLDÁVEL DE Ø 40 MM (LAVATÓRIOS, MICTÓRIOS, RALOS SIFONADOS, ETC...)</t>
  </si>
  <si>
    <t>PONTO DE ESGOTO COM TUBO DE PVC RÍGIDO SOLDÁVEL DE Ø 50 MM (PIAS DE COZINHA, MÁQUINAS DE LAVAR, ETC...)</t>
  </si>
  <si>
    <t>PONTO DE ESGOTO COM TUBO DE PVC RÍGIDO SOLDÁVEL DE Ø 75 MM</t>
  </si>
  <si>
    <t>PONTO DE ESGOTO COM TUBO DE PVC RÍGIDO SOLDÁVEL DE Ø 100 MM (VASO SANITÁRIO)</t>
  </si>
  <si>
    <t>PONTO DE ÁGUA FRIA EMBUTIDO, C/MATERIAL PVC RÍGIDO ROSCÁVEL Ø 3/4"</t>
  </si>
  <si>
    <t>HIDRÔMETROS</t>
  </si>
  <si>
    <t>PONTO DE TELEFONE, COM ELETRODUTO DE PVC RÍGIDO EMBUTIDO Ø 3/4", INCLUSIVE FIO TRANÇADO 2 X 22</t>
  </si>
  <si>
    <t>PONTO SECO DE TOMADA P/ LÓGICA, COM ELETRODUTO PVC RÍGIDO EMBUTIDO, Ø 3/4"</t>
  </si>
  <si>
    <t>PONTO EMBUTIDO TOMADA P/ TV A CABO, C/ ELETRODUTO CONDULETE PVC RÍGIDO Ø 3/4" S/ FIAÇÃO, EXCLUSIVE TOMADA</t>
  </si>
  <si>
    <t>CAIXA DE INCÊNDIO 60X75X17CM - FORNECIMENTO E INSTALAÇÃO</t>
  </si>
  <si>
    <t>PLACAS DE SINALIZACAO DE SEGURANCA CONTRA INCENDIO, FOTOLUMINESCENTE, QUADRADA, *20 X 20* CM, EM PVC *2* MM ANTI-CHAMAS (SIMBOLOS, CORES E PICTOGRAMAS CONFORME NBR 13434)</t>
  </si>
  <si>
    <t>TANQUE DE MÁMORE SINTÉTICO 22L, COM TORNEIRA E SIFÃO</t>
  </si>
  <si>
    <t>Ponto de água fria embutido, c/material pvc rígido soldável Ø 25mm</t>
  </si>
  <si>
    <t>01200/ORSE</t>
  </si>
  <si>
    <t>Tubo pvc, soldavel, dn 25 mm, agua fria (nbr-5648)</t>
  </si>
  <si>
    <t xml:space="preserve"> 09868/SINAPI</t>
  </si>
  <si>
    <t>PONTO DE ÁGUA FRIA EMBUTIDO, C/MATERIAL PVC RÍGIDO SOLDÁVEL Ø 25MM</t>
  </si>
  <si>
    <t xml:space="preserve">Extintor de pó químico ABC, capacidade 4 kg, alcance médio do jato 4,5m , tempo de descarga 11s, NBR9443, 9444, 10721 </t>
  </si>
  <si>
    <t>01505/ORSE</t>
  </si>
  <si>
    <t xml:space="preserve"> Extintor de incendio portatil com carga de po quimico seco (pqs) de 4 kg, classe bc</t>
  </si>
  <si>
    <t>10891/SINAPI</t>
  </si>
  <si>
    <t>EXTINTOR INCENDIO TP PO QUIMICO 4KG FORNECIMENTO E COLOCACAO</t>
  </si>
  <si>
    <t xml:space="preserve"> Pia de cozinha com bancada em mármore sintético, dim 1.60x0.50, com 01 cuba, sifão plático, válvula em pvc, torneira em aço inox, assentada.</t>
  </si>
  <si>
    <t>02142/ORSE</t>
  </si>
  <si>
    <t>Perfil Alumínio, Tubo Retangular 50,80mm x 25,40mm x 1,20mm (0,484kg/m)</t>
  </si>
  <si>
    <t>09964/ORSE</t>
  </si>
  <si>
    <t>Sifao plastico extensivel universal, tipo copo</t>
  </si>
  <si>
    <t xml:space="preserve"> 20262/SINAPI</t>
  </si>
  <si>
    <t>Torneira cromada curta sem bico para uso geral 1/2 " ou 3/4 " (ref 1152)</t>
  </si>
  <si>
    <t>Valvula em plastico branco para tanque ou lavatorio 1 ", sem unho e sem ladrao</t>
  </si>
  <si>
    <t xml:space="preserve"> 13984/SINAPI</t>
  </si>
  <si>
    <t xml:space="preserve"> 06153/SINAPI</t>
  </si>
  <si>
    <t>Pia de mármore sintético com frontal, dimensões 1,60x0,50 m</t>
  </si>
  <si>
    <t xml:space="preserve"> 01747/ORSE</t>
  </si>
  <si>
    <t>PIA DE COZINHA - BANCADA, CUBA SIMPLES E TORNEIRA</t>
  </si>
  <si>
    <t>02450/ORSE</t>
  </si>
  <si>
    <t>Sabão em pó</t>
  </si>
  <si>
    <t xml:space="preserve"> Vassoura piaçava</t>
  </si>
  <si>
    <t>01997/ORSE</t>
  </si>
  <si>
    <t xml:space="preserve"> 02414/ORSE</t>
  </si>
  <si>
    <t>KG.</t>
  </si>
  <si>
    <t xml:space="preserve">LIMPEZA GERAL DA EDIFICAÇÃO </t>
  </si>
  <si>
    <t>Chuveiro elétrico de plástico (lorenzetti ou similar)</t>
  </si>
  <si>
    <t>Fita veda rosca 18mm</t>
  </si>
  <si>
    <t>Chuveiro Maxi Ducha, 127V x 4500w, Lorenzetti ou similar</t>
  </si>
  <si>
    <t>CHUVEIRO</t>
  </si>
  <si>
    <t xml:space="preserve"> Lavatório louça branca com coluna, *44 x 35,5* cm, padrão popular, incluso sifão flexível em pvc, válvula e engate flexível 30cm em plástico e com torneira cromada padrão popular - fornecimento e instalação. af_01/2020</t>
  </si>
  <si>
    <t>86939/SINAPI</t>
  </si>
  <si>
    <t>Válvula em plástico 1? para pia, tanque ou lavatório, com ou sem ladrão - fornecimento e instalação. af_01/2020</t>
  </si>
  <si>
    <t xml:space="preserve"> 86879/SINAPI</t>
  </si>
  <si>
    <t>86883/SINAPI</t>
  </si>
  <si>
    <t>86884/SINAPI</t>
  </si>
  <si>
    <t>86902/SINAPI</t>
  </si>
  <si>
    <t>86906/SINAPI</t>
  </si>
  <si>
    <t>Sifão do tipo flexível em pvc 1 x 1.1/2 - fornecimento e instalação. af_01/2020</t>
  </si>
  <si>
    <t xml:space="preserve"> Engate flexível em plástico branco, 1/2? x 30cm - fornecimento e instalação. af_01/2020</t>
  </si>
  <si>
    <t>Lavatório louça branca com coluna, *44 x 35,5* cm, padrão popular - fornecimento e instalação. af_01/2020</t>
  </si>
  <si>
    <t>Torneira cromada de mesa, 1/2? ou 3/4?, para lavatório, padrão popular - fornecimento e instalação. af_01/2020</t>
  </si>
  <si>
    <t>LAVATÓRIO DE LOUÇAS, TORNEIRAS E ACESSÓRIOS</t>
  </si>
  <si>
    <t>95470/SINAPI</t>
  </si>
  <si>
    <t>Conjunto de ligacao para bacia sanitaria ajustavel, em plastico branco, com tubo, canopla e espude</t>
  </si>
  <si>
    <t>Vaso sanitario sifonado convencional com louça branca - fornecimento e instalação. af_01/2020</t>
  </si>
  <si>
    <t>06142/SINAPI</t>
  </si>
  <si>
    <t xml:space="preserve"> 95469/SINAPI</t>
  </si>
  <si>
    <t>BACIA DE LOUÇA COM CAIXA ACOPLADA, COM TAMPA E ACESSÓRIOS</t>
  </si>
  <si>
    <t>pavimentos</t>
  </si>
  <si>
    <t>prédios</t>
  </si>
  <si>
    <t>orse</t>
  </si>
  <si>
    <t>Composição:</t>
  </si>
  <si>
    <t>I830007 - INSTALAÇÕES P/ CENTRAL DE GÁS 01</t>
  </si>
  <si>
    <t/>
  </si>
  <si>
    <t>Und.</t>
  </si>
  <si>
    <t>Coef.</t>
  </si>
  <si>
    <t>M000004</t>
  </si>
  <si>
    <t>AJUDANTE DE ENCANADOR C/EPI'S</t>
  </si>
  <si>
    <t>M000013</t>
  </si>
  <si>
    <t>ENCANADOR /EPI'S</t>
  </si>
  <si>
    <t>MT18270</t>
  </si>
  <si>
    <t>REGULADOR DE 1º ESTAGIO C/ MANOMETRO NPT DE 1/2</t>
  </si>
  <si>
    <t>PC</t>
  </si>
  <si>
    <t>MT99801</t>
  </si>
  <si>
    <t>TÊ 35 MM SCHEDULE 80</t>
  </si>
  <si>
    <t>MT99802</t>
  </si>
  <si>
    <t>JOELHO 90° 35 MM SCHEDULE 80</t>
  </si>
  <si>
    <t>MT99803</t>
  </si>
  <si>
    <t>ADAPTADOR AÇO 35 MM X PEAD 40 MM</t>
  </si>
  <si>
    <t>MT99804</t>
  </si>
  <si>
    <t>VÁLVULA ESFERA 35 MM PARA GÁS</t>
  </si>
  <si>
    <t>MT99805</t>
  </si>
  <si>
    <t>TUBO 35 MM SCHEDULE 80</t>
  </si>
  <si>
    <t>MT99839</t>
  </si>
  <si>
    <t>EXTINTOR PQS 12 KG</t>
  </si>
  <si>
    <t>área</t>
  </si>
  <si>
    <t xml:space="preserve">Concretagem do radier </t>
  </si>
  <si>
    <t>lateral</t>
  </si>
  <si>
    <t>Fôrmas para as lajes (vãos)</t>
  </si>
  <si>
    <t>escada</t>
  </si>
  <si>
    <t>shaft 01</t>
  </si>
  <si>
    <t>shaft 02</t>
  </si>
  <si>
    <t>shaft 03</t>
  </si>
  <si>
    <t>Consideração de vãos</t>
  </si>
  <si>
    <t>Formas de parede Externa  sem vão</t>
  </si>
  <si>
    <t>P1 = P2 = P3 = P4 (face externa )</t>
  </si>
  <si>
    <t>P1 = P2 = P3 = P4 (face interna)</t>
  </si>
  <si>
    <t>P12 (face enterna)</t>
  </si>
  <si>
    <t>P12 (face interna)</t>
  </si>
  <si>
    <t>Formas de parede Externa  com vão</t>
  </si>
  <si>
    <t>P5=P6 (face externa )</t>
  </si>
  <si>
    <t>P5=P6  (face interna)</t>
  </si>
  <si>
    <t>P7=P8 (face externa )</t>
  </si>
  <si>
    <t>P7=P8(face interna)</t>
  </si>
  <si>
    <t>P9=P10 (face externa )</t>
  </si>
  <si>
    <t>P9=P10 (face interna)</t>
  </si>
  <si>
    <t>ALTURA</t>
  </si>
  <si>
    <t>DESCONTOS</t>
  </si>
  <si>
    <t>ÁREA COM DESCONTOS</t>
  </si>
  <si>
    <t>ÁREA</t>
  </si>
  <si>
    <t>P11 (TERREO - face eXterna)</t>
  </si>
  <si>
    <t>P11 (DEMAIS PAV - face eXterna)</t>
  </si>
  <si>
    <t>P11 (TERREO - face INterna)</t>
  </si>
  <si>
    <t>P11 (DEMAIS PAV - face INterna)</t>
  </si>
  <si>
    <t>P12 (TERREO - face enterna)</t>
  </si>
  <si>
    <t>P12 (TERREO - face interna)</t>
  </si>
  <si>
    <t>VÃOS DAS PAREDES EXTERNAS</t>
  </si>
  <si>
    <t>ESQUADRIA</t>
  </si>
  <si>
    <t xml:space="preserve">PAREDE QUARTO/COZINHA </t>
  </si>
  <si>
    <t>FACES</t>
  </si>
  <si>
    <t xml:space="preserve">INTERNA </t>
  </si>
  <si>
    <t>EXTERNA</t>
  </si>
  <si>
    <t>PAREDE QUARTO/BANHEIRO</t>
  </si>
  <si>
    <t>PAREDE BANHEIRO /QUARTO</t>
  </si>
  <si>
    <t>parede abaixo da escada (TERREO)</t>
  </si>
  <si>
    <t>PAREDE PORTA DO QUARTO</t>
  </si>
  <si>
    <t>PAREDE PORTA DO BANHEIRO</t>
  </si>
  <si>
    <t>PAREDE QUARTO/SALA</t>
  </si>
  <si>
    <t>PAREDE COZINHA /SALA</t>
  </si>
  <si>
    <t>PAREDE BANCADA</t>
  </si>
  <si>
    <t>PAREDE PARA ÁREA COMUM</t>
  </si>
  <si>
    <t>PAREDE ESCADA</t>
  </si>
  <si>
    <t>SHAFT A.S</t>
  </si>
  <si>
    <t>SHAFT COZINHA</t>
  </si>
  <si>
    <t>SHAFT BANHEIRO</t>
  </si>
  <si>
    <t>PAREDE DIVISA APT</t>
  </si>
  <si>
    <t xml:space="preserve"> APLICAÇÃO MANUAL DE GESSO DESEMPENADO (SEM TALISCAS) EM TETO DE AMBIENTES DE ÁREA ENTRE 5M² E 10M², ESPESSURA DE 1,0CM</t>
  </si>
  <si>
    <t>APLICAÇÃO MANUAL DE PINTURA COM TINTA LÁTEX PVA EM TETO, DUAS DEMÃOS.</t>
  </si>
  <si>
    <t xml:space="preserve">APLICAÇÃO MANUAL DE PINTURA COM TINTA LÁTEX PVA EM TETO, DUAS DEMÃOS. AF_06/2014 </t>
  </si>
  <si>
    <t>88486/SINAPI</t>
  </si>
  <si>
    <t>87415/SINAPI</t>
  </si>
  <si>
    <t>7345/SINAPI</t>
  </si>
  <si>
    <t>comprimento Real</t>
  </si>
  <si>
    <t xml:space="preserve">APLICAÇÃO MANUAL DE PINTURA COM TINTA TEXTURIZADA ACRÍLICA EM PANOS COM PRESENÇA DE VÃOS DE EDIFÍCIOS DE MÚLTIPLOS PAVIMENTOS (hall de entrada) </t>
  </si>
  <si>
    <t>Administração da Obra</t>
  </si>
  <si>
    <t>Profissional</t>
  </si>
  <si>
    <t>Quantidade</t>
  </si>
  <si>
    <t xml:space="preserve">Engenheiro </t>
  </si>
  <si>
    <t>Estagiário</t>
  </si>
  <si>
    <t>Técnico em Edificações</t>
  </si>
  <si>
    <t>Tecnico em Seg. do Trabalho</t>
  </si>
  <si>
    <t>Encarregados</t>
  </si>
  <si>
    <t>Almoxarife</t>
  </si>
  <si>
    <t xml:space="preserve">Salário </t>
  </si>
  <si>
    <t xml:space="preserve">Custo </t>
  </si>
  <si>
    <t xml:space="preserve">Custo + Encargos </t>
  </si>
  <si>
    <t>Mestre de Obras</t>
  </si>
  <si>
    <t>Assistente Administrativo</t>
  </si>
  <si>
    <t xml:space="preserve">Vigia </t>
  </si>
  <si>
    <t xml:space="preserve">Ticket </t>
  </si>
  <si>
    <t>Cesta Básica</t>
  </si>
  <si>
    <t>Vale Transporte</t>
  </si>
  <si>
    <t>Total</t>
  </si>
  <si>
    <t xml:space="preserve">Calçado de Segurança </t>
  </si>
  <si>
    <t xml:space="preserve">Capacete </t>
  </si>
  <si>
    <t>Luva</t>
  </si>
  <si>
    <t>TOTAL</t>
  </si>
  <si>
    <t>Óculos</t>
  </si>
  <si>
    <t>Protetor auricular</t>
  </si>
  <si>
    <t xml:space="preserve">Máscara </t>
  </si>
  <si>
    <t xml:space="preserve">Quantidade </t>
  </si>
  <si>
    <t xml:space="preserve">Valor </t>
  </si>
  <si>
    <t>cintos de segurança</t>
  </si>
  <si>
    <t xml:space="preserve">Instalações provisárias </t>
  </si>
  <si>
    <t>EPI's</t>
  </si>
  <si>
    <t>Alicate</t>
  </si>
  <si>
    <t>Andaime</t>
  </si>
  <si>
    <t>Betoneira</t>
  </si>
  <si>
    <t>Bomba d’água</t>
  </si>
  <si>
    <t>Chave de aperto</t>
  </si>
  <si>
    <t>Compressor de ar</t>
  </si>
  <si>
    <t>Esmerilhadeira</t>
  </si>
  <si>
    <t>Furadeira</t>
  </si>
  <si>
    <t>Lixadeira</t>
  </si>
  <si>
    <t xml:space="preserve"> Gerador de energia</t>
  </si>
  <si>
    <t xml:space="preserve"> Martelo</t>
  </si>
  <si>
    <t>Martelete</t>
  </si>
  <si>
    <t>Medidor de nível</t>
  </si>
  <si>
    <t>Parafusadeira</t>
  </si>
  <si>
    <t>Trena</t>
  </si>
  <si>
    <t>Extensão elétrica:</t>
  </si>
  <si>
    <t>Picaretas</t>
  </si>
  <si>
    <t>Talhadeiras</t>
  </si>
  <si>
    <t>Serras</t>
  </si>
  <si>
    <t>Valor unitário</t>
  </si>
  <si>
    <t>https://www.google.com/aclk?sa=L&amp;ai=DChcSEwj0huK51rbsAhWJiJEKHYF-BX0YABAGGgJjZQ&amp;sig=AOD64_1ZjzSFq9AVXJtCakUlx_jXptOhuQ&amp;ctype=5&amp;q=&amp;ved=2ahUKEwinv9u51rbsAhXgGbkGHUPuA3MQ9aACegQIFRBp&amp;adurl=</t>
  </si>
  <si>
    <t>Valor total</t>
  </si>
  <si>
    <t>https://www.google.com/aclk?sa=l&amp;ai=DChcSEwjCpuzb1rbsAhVUB5EKHUhZAc4YABARGgJjZQ&amp;sig=AOD64_0I4q9tiBzFcVm6WNZN3sZIGMVD7Q&amp;ctype=5&amp;q=&amp;ved=0ahUKEwjw5efb1rbsAhWQKLkGHbO0BJ8Q2CkI7gM&amp;adurl=</t>
  </si>
  <si>
    <t>https://www.google.com/shopping/product/2832648131404927633?biw=1366&amp;bih=657&amp;sxsrf=ALeKk03FElbTxbVrZBn7zUb1nAqppMVCsQ:1602767633913&amp;q=betoneira&amp;oq=Betoneira&amp;gs_lcp=Cgtwcm9kdWN0cy1jYxABGAAyCggAELEDEIMBEEMyCAgAELEDEIMBMgIIADIICAAQsQMQgwEyAggAMgIIADICCAAyAggAMgIIADICCAA6BAgjECc6BAgAEENQ5_4DWPSLBGDUnQRoAHAAeACAAdECiAHxEJIBBTItOC4xmAEAoAEBqgEPcHJvZHVjdHMtY2Mtd2l6wAEB&amp;sclient=products-cc&amp;prds=epd:17078575714639708124,paur:ClkAsKraXxJVBMSzTSpQfaDbF1jtoxVHVkZGVUx8TQZ2eA_rCu1CzKRtwghcBJKisFTqORyVRwwOEq0eZuOxo1QcuB2uIZjUOPSiz4igMSOhn5NAccWiKQNOHRIZAFPVH721-dH_5vi0Urs2AUBSIrfzSqIUgw,prmr:1&amp;sa=X&amp;ved=0ahUKEwjlj6j-1rbsAhWQE7kGHb-zAnoQ8wIIuwM</t>
  </si>
  <si>
    <t>https://www.google.com/aclk?sa=l&amp;ai=DChcSEwjvl6mY17bsAhWVCpEKHR8CCooYABAIGgJjZQ&amp;sig=AOD64_1Gzn3bm1rowaBHZ0qohdp_cDmkZQ&amp;ctype=5&amp;q=&amp;ved=0ahUKEwj99qSY17bsAhXGGLkGHR7gDxUQg-UECKgD&amp;adurl=</t>
  </si>
  <si>
    <t>https://www.google.com/shopping/product/9667562036122163379?biw=1366&amp;bih=657&amp;sxsrf=ALeKk00m1VXxqZ1Eyg0-XvFlwH0VVuM0qQ:1602767760742&amp;q=chaves+de+aperto&amp;oq=chaves+de+a&amp;gs_lcp=Cgtwcm9kdWN0cy1jYxADGAIyAggAMgIIADICCAAyAggAMgIIADIGCAAQCBAeMgYIABAIEB46BAgjECc6BggAEAoQQzoECAAQQzoICAAQsQMQgwFQvM8BWL_tAWD4gwJoAXAAeAGAAdkCiAH0FZIBBjItMTEuMZgBAKABAaoBD3Byb2R1Y3RzLWNjLXdpesABAQ&amp;sclient=products-cc&amp;prds=epd:17110407566634746399,paur:ClkAsKraXwSqgmR3i8WS8GeU_pO2_wxt7zmWC-33lp1qBy2NqhBEXiVqjzrxwJ0Pq7AExlhI9RuG8gIhmBKtdvA1dC-H7EZKr2H-A12zZSVdS_fasjCIbJBgzBIZAFPVH716NvXbeErtZeLTYV_w9_hFg1IcvA,prmr:1&amp;sa=X&amp;ved=0ahUKEwjZybWp17bsAhV1GLkGHUr5DZQQ8wIIjwM</t>
  </si>
  <si>
    <t>https://www.google.com/shopping/product/15232286730864655626?biw=1366&amp;bih=657&amp;sxsrf=ALeKk02PJP9ht5jknQb2RJvQADPv0cQM0g:1602767796667&amp;q=compressor+de+ar&amp;oq=compress&amp;gs_lcp=Cgtwcm9kdWN0cy1jYxADGAAyCggAELEDEIMBEEMyCAgAELEDEIMBMggIABCxAxCDATICCAAyCAgAELEDEIMBMgIIADIICAAQsQMQgwEyAggAMgIIADICCAA6BAgjECc6BAgAEENQpa0DWLO4A2CgwANoAHAAeACAAZwCiAGXDpIBAzItOJgBAKABAaoBD3Byb2R1Y3RzLWNjLXdpesABAQ&amp;sclient=products-cc&amp;prds=epd:187599720283307889,paur:ClkAsKraXzBEnfgXkHfsV9QqA81dFH1yNLspaZBb9huhVDRs28INwtehAfHmM5-AB0QfZVcDASybaV75Mf4bL1OFgcHAohoKc3U2bX-HKJ6VlnYAN8mXcwviuBIZAFPVH70VObLlYzhAJO0_T_BNz06JrdDi6w,prmr:1&amp;sa=X&amp;ved=0ahUKEwiUlvvF17bsAhUJHbkGHZmhD0IQ8wII1AM</t>
  </si>
  <si>
    <t>https://www.google.com/aclk?sa=l&amp;ai=DChcSEwje1Kje17bsAhVOBJEKHWn0BhEYABAHGgJjZQ&amp;sig=AOD64_2dKmauOfg9jPEiXz2-PuGQDMsrNQ&amp;ctype=5&amp;q=&amp;ved=0ahUKEwi_waTe17bsAhXrDrkGHQIpDrkQg-UECKsD&amp;adurl=</t>
  </si>
  <si>
    <t>https://www.google.com/aclk?sa=l&amp;ai=DChcSEwjv4LPs17bsAhUOhpEKHW-xD24YABAWGgJjZQ&amp;sig=AOD64_06wy2JaRIktFx_pjK4bnmpk5mpFg&amp;ctype=5&amp;q=&amp;ved=0ahUKEwjkp6_s17bsAhWQE7kGHb-zAnoQgeUECNgF&amp;adurl=</t>
  </si>
  <si>
    <t>https://www.google.com/aclk?sa=l&amp;ai=DChcSEwitoNn617bsAhUNDJEKHckYAW8YABAHGgJjZQ&amp;sig=AOD64_1dbFXSDiToT2nXSMT_30Ssti2Vwg&amp;ctype=5&amp;q=&amp;ved=0ahUKEwjrktX617bsAhW7H7kGHSQZB24Qg-UECIcE&amp;adurl=</t>
  </si>
  <si>
    <t>https://www.google.com/shopping/product/9232623981385409602?biw=1366&amp;bih=657&amp;sxsrf=ALeKk00i8ESvg4BvmdFTYaP-eFaf0CtLtg:1602767967054&amp;q=gerador+de+energia&amp;oq=gerador+de&amp;gs_lcp=Cgtwcm9kdWN0cy1jYxABGAAyCAgAELEDEIMBMgIIADICCAAyAggAMgIIADICCAAyAggAMgIIADICCAAyAggAOgQIABBDUN38A1iiiARglZIEaABwAHgAgAHKAogBjBSSAQUyLTkuMZgBAKABAaoBD3Byb2R1Y3RzLWNjLXdpesABAQ&amp;sclient=products-cc&amp;prds=epd:8958948218017952900,paur:ClkAsKraX_6qUBNdpdgNybfB9y01k0o61496AJ9E9rxhJIw1p1wQH1AAB_JOBsMNumOy52y0351bu-NRtb_AP9syoeTarX-XGGPpJzKc0Ei17exdXYLqy-pbARIZAFPVH72q0VAYKpvyP8k5Iz7aJL6yZKweHQ,prmr:1&amp;sa=X&amp;ved=0ahUKEwjok8ic2LbsAhV2HLkGHcsFAw0Q8wIImAM</t>
  </si>
  <si>
    <t>https://www.google.com/aclk?sa=l&amp;ai=DChcSEwiVwOe22LbsAhWLh5EKHX90BZUYABAMGgJjZQ&amp;sig=AOD64_1alTFGFE8vrkENvtgDBGkVmchNIg&amp;ctype=5&amp;q=&amp;ved=0ahUKEwj50eK22LbsAhVbD7kGHZkOALQQgeUECMYD&amp;adurl=</t>
  </si>
  <si>
    <t>https://www.google.com/aclk?sa=l&amp;ai=DChcSEwic39DC2LbsAhUSgpEKHVjiC3wYABAbGgJjZQ&amp;sig=AOD64_2NdxepvUGMOXL_XIwkWDYcWpBf6g&amp;ctype=5&amp;q=&amp;ved=0ahUKEwjZzMvC2LbsAhWGH7kGHRtLBcIQg-UECMoF&amp;adurl=</t>
  </si>
  <si>
    <t>https://www.google.com/aclk?sa=l&amp;ai=DChcSEwi7zvPV2LbsAhWLDZEKHZC-DAMYABATGgJjZQ&amp;sig=AOD64_26tR0P00-iIjeEMQ_P3V7Lp7OCzQ&amp;ctype=5&amp;q=&amp;ved=0ahUKEwiV_O7V2LbsAhXQGbkGHZgwD-0Q2ysIXA&amp;adurl=</t>
  </si>
  <si>
    <t>https://www.google.com/aclk?sa=l&amp;ai=DChcSEwjew9Hx2LbsAhVGgJEKHSwNBAcYABAXGgJjZQ&amp;sig=AOD64_01RDYJ3dLk6qYVwAFIaMqR620Dnw&amp;ctype=5&amp;q=&amp;ved=0ahUKEwiCrM3x2LbsAhUUHrkGHcgMBIwQg-UECKYF&amp;adurl=</t>
  </si>
  <si>
    <t>https://www.google.com/aclk?sa=l&amp;ai=DChcSEwi9vJ3-2LbsAhWNhZEKHf-EDz0YABASGgJjZQ&amp;sig=AOD64_14l1CbRS_NAIdsvMLzyrk9rdsCsQ&amp;ctype=5&amp;q=&amp;ved=0ahUKEwjcgJn-2LbsAhUgJrkGHTXRA1EQg-UECOwD&amp;adurl=</t>
  </si>
  <si>
    <t>https://www.google.com/aclk?sa=l&amp;ai=DChcSEwivkeqP2bbsAhVMCZEKHQRfC9oYABAWGgJjZQ&amp;sig=AOD64_3agYeBMZjr2RT6817VMpoYB2sFSg&amp;ctype=5&amp;q=&amp;ved=0ahUKEwiA1OSP2bbsAhUBJ7kGHdzTCTwQgeUECIkE&amp;adurl=</t>
  </si>
  <si>
    <t>https://www.google.com/aclk?sa=l&amp;ai=DChcSEwi-i6Wq2bbsAhVWBZEKHfTPBR8YABAZGgJjZQ&amp;sig=AOD64_0mUK49v1LXJt3siBkXn5qqd05PmQ&amp;ctype=5&amp;q=&amp;ved=0ahUKEwiOjaCq2bbsAhXsGLkGHeCqDKgQgeUECN0D&amp;adurl=</t>
  </si>
  <si>
    <t>https://www.google.com/aclk?sa=l&amp;ai=DChcSEwjYyPnD2bbsAhWJlbMKHRWTASgYABAOGgJxbg&amp;sig=AOD64_2REjnVC0B6rh39vjYD18anbrCEwg&amp;ctype=5&amp;q=&amp;ved=0ahUKEwiDy-TD2bbsAhX2CrkGHf1uDrAQg-UECKoD&amp;adurl=</t>
  </si>
  <si>
    <t>https://www.google.com/aclk?sa=l&amp;ai=DChcSEwj5zNHT2bbsAhWUC5EKHUOxBMoYABANGgJjZQ&amp;sig=AOD64_3EGzzez9vMLO53Vgq7lvPL1N6CnA&amp;ctype=5&amp;q=&amp;ved=0ahUKEwjWns3T2bbsAhX_I7kGHWP2ANgQg-UECN8D&amp;adurl=</t>
  </si>
  <si>
    <t>Máquinas, Ferramentas e Equipamentos</t>
  </si>
  <si>
    <t xml:space="preserve">Despesas de água, Luz e Telefone </t>
  </si>
  <si>
    <t>verba mensal</t>
  </si>
  <si>
    <t>CUSTOS INDIRETOS</t>
  </si>
  <si>
    <t>TAXA DE RISCO</t>
  </si>
  <si>
    <t>LUCRATIVIDADE</t>
  </si>
  <si>
    <t>IMPOSTOS</t>
  </si>
  <si>
    <t>BDI</t>
  </si>
  <si>
    <t>Revestimento cerâmico para paredes internas com placas tipo esmaltada padrão popular de dimensões 20x20 cm, argamassa tipo ac i, aplicadas em ambientes de área maior que 5 m2 na altura inteira das paredes. af_06/2014</t>
  </si>
  <si>
    <t xml:space="preserve">00533/SINAPI </t>
  </si>
  <si>
    <t>Revestimento em ceramica esmaltada comercial, pei menor ou igual a 3, formato menor ou igual a 2025 cm2</t>
  </si>
  <si>
    <t>Rejunte colorido, cimenticio</t>
  </si>
  <si>
    <t>34357/SINAPI</t>
  </si>
  <si>
    <t xml:space="preserve">Azulejista ou ladrilhista </t>
  </si>
  <si>
    <t>CUSTOS TOTAIS</t>
  </si>
  <si>
    <t xml:space="preserve">PREÇO DE VENDA </t>
  </si>
  <si>
    <t>PV</t>
  </si>
  <si>
    <t>LUCRO</t>
  </si>
  <si>
    <t>HALL DE ENTRADA</t>
  </si>
  <si>
    <t>CÔMODO</t>
  </si>
  <si>
    <t>PERÍMETRO</t>
  </si>
  <si>
    <t xml:space="preserve">ÁREA TOTAL </t>
  </si>
  <si>
    <t xml:space="preserve">DESCONTOS </t>
  </si>
  <si>
    <t>CIRCULAÇÃO</t>
  </si>
  <si>
    <t xml:space="preserve">APLICAÇÃO MANUAL DE PINTURA COM TINTA TEXTURIZADA ACRÍLICA EM PANOS COM PRESENÇA DE VÃOS DE EDIFÍCIOS DE MÚLTIPLOS PAVIMENTOS (APARTAMENTOS) </t>
  </si>
  <si>
    <t>BANHEIRO</t>
  </si>
  <si>
    <t>COZINHA</t>
  </si>
  <si>
    <t>88267/SINAPI</t>
  </si>
  <si>
    <t>04722/ORSE</t>
  </si>
  <si>
    <t>99195/SINAPI</t>
  </si>
  <si>
    <t>37595/SINAPI</t>
  </si>
  <si>
    <t>03730/ORSE</t>
  </si>
  <si>
    <t xml:space="preserve"> ORSE</t>
  </si>
  <si>
    <t>00693/ORSE</t>
  </si>
  <si>
    <t>BUCHA DE NYLON, DIAMETRO DO FURO 8 MM, COMPRIMENTO 40 MM, COM PARAFUSO DE ROSCA SOBERBA, CABECA CHATA, FENDA SIMPLES, 4,8 X 50 MM</t>
  </si>
  <si>
    <t>4350/SINAPI</t>
  </si>
  <si>
    <t>PPONTO DE ILUMINAÇÃO RESIDENCIAL INCLUINDO INTERRUPTOR SIMPLES, CAIXA ELÉTRICA, ELETRODUTO, CABO, RASGO, QUEBRA E CHUMBAMENTO (EXCLUINDO LUMINÁRIA ELÂMPADA). AF_01/2016</t>
  </si>
  <si>
    <t xml:space="preserve">93128/SINAPI	</t>
  </si>
  <si>
    <t>qe</t>
  </si>
  <si>
    <t>TRATOR DE ESTEIRAS. POTÊNCIA 100 HP. PESO OPERACIONAL 9.4 T. COM LÂMINA 2.19 M3 - CHP DIURNO. AF_06/2014</t>
  </si>
  <si>
    <t>Emassamento interno dos apartamentos e hall de entrada</t>
  </si>
  <si>
    <t xml:space="preserve">PLANILHA ORÇAMENTÁRIA DO CONDOMÍNIO RECANTO DO MAR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</si>
</sst>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R$&quot;\ * #,##0.00_-;\-&quot;R$&quot;\ * #,##0.00_-;_-&quot;R$&quot;\ * &quot;-&quot;??_-;_-@_-"/>
    <numFmt numFmtId="164" formatCode="_(* #,##0.00_);_(* \(#,##0.00\);_(* &quot;-&quot;??_);_(@_)"/>
    <numFmt numFmtId="165" formatCode="0.000"/>
    <numFmt numFmtId="166" formatCode="0.0000"/>
    <numFmt numFmtId="167" formatCode="0.000000"/>
    <numFmt numFmtId="168" formatCode="0.00000"/>
    <numFmt numFmtId="169" formatCode="0.00000000"/>
    <numFmt numFmtId="170" formatCode="&quot;R$&quot;\ #,##0.00"/>
    <numFmt numFmtId="171" formatCode="0.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</font>
    <font>
      <b/>
      <sz val="10"/>
      <name val="Arial"/>
    </font>
    <font>
      <b/>
      <sz val="12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Arial"/>
    </font>
  </fonts>
  <fills count="1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5"/>
        <bgColor indexed="64"/>
      </patternFill>
    </fill>
    <fill>
      <patternFill patternType="solid">
        <fgColor theme="7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24" fillId="0" borderId="0" applyNumberFormat="0" applyFill="0" applyBorder="0" applyAlignment="0" applyProtection="0"/>
  </cellStyleXfs>
  <cellXfs count="251">
    <xf numFmtId="0" fontId="0" fillId="0" borderId="0" xfId="0"/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right" vertical="center"/>
    </xf>
    <xf numFmtId="0" fontId="12" fillId="0" borderId="1" xfId="0" applyFont="1" applyBorder="1" applyAlignment="1">
      <alignment horizontal="right" vertical="center"/>
    </xf>
    <xf numFmtId="0" fontId="14" fillId="0" borderId="1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164" fontId="15" fillId="0" borderId="1" xfId="2" applyFont="1" applyFill="1" applyBorder="1" applyAlignment="1">
      <alignment vertical="center"/>
    </xf>
    <xf numFmtId="10" fontId="14" fillId="0" borderId="1" xfId="1" applyNumberFormat="1" applyFont="1" applyFill="1" applyBorder="1" applyAlignment="1">
      <alignment vertical="center"/>
    </xf>
    <xf numFmtId="2" fontId="12" fillId="0" borderId="1" xfId="0" applyNumberFormat="1" applyFont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right" vertical="center"/>
    </xf>
    <xf numFmtId="0" fontId="14" fillId="0" borderId="1" xfId="0" applyFont="1" applyBorder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15" fillId="0" borderId="1" xfId="0" quotePrefix="1" applyFont="1" applyBorder="1" applyAlignment="1">
      <alignment horizontal="center" vertical="center"/>
    </xf>
    <xf numFmtId="2" fontId="14" fillId="0" borderId="1" xfId="0" applyNumberFormat="1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2" fillId="3" borderId="1" xfId="0" applyFont="1" applyFill="1" applyBorder="1" applyAlignment="1">
      <alignment horizontal="right" vertical="center"/>
    </xf>
    <xf numFmtId="0" fontId="15" fillId="0" borderId="1" xfId="0" applyFont="1" applyBorder="1" applyAlignment="1">
      <alignment horizontal="right" vertical="center"/>
    </xf>
    <xf numFmtId="2" fontId="15" fillId="0" borderId="1" xfId="0" applyNumberFormat="1" applyFont="1" applyBorder="1" applyAlignment="1">
      <alignment vertical="center"/>
    </xf>
    <xf numFmtId="0" fontId="15" fillId="0" borderId="1" xfId="0" quotePrefix="1" applyFont="1" applyBorder="1" applyAlignment="1">
      <alignment horizontal="center" vertical="center" wrapText="1"/>
    </xf>
    <xf numFmtId="2" fontId="16" fillId="0" borderId="1" xfId="0" applyNumberFormat="1" applyFont="1" applyBorder="1" applyAlignment="1">
      <alignment vertical="center"/>
    </xf>
    <xf numFmtId="4" fontId="15" fillId="0" borderId="1" xfId="0" applyNumberFormat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quotePrefix="1" applyFont="1" applyAlignment="1">
      <alignment vertical="center" wrapText="1"/>
    </xf>
    <xf numFmtId="0" fontId="15" fillId="0" borderId="0" xfId="0" quotePrefix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0" fillId="0" borderId="0" xfId="0" applyFont="1" applyAlignment="1">
      <alignment wrapText="1"/>
    </xf>
    <xf numFmtId="0" fontId="15" fillId="4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right" vertical="center"/>
    </xf>
    <xf numFmtId="0" fontId="0" fillId="0" borderId="0" xfId="0" applyAlignment="1">
      <alignment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right" vertical="center"/>
    </xf>
    <xf numFmtId="0" fontId="17" fillId="6" borderId="1" xfId="0" applyFont="1" applyFill="1" applyBorder="1" applyAlignment="1">
      <alignment horizontal="right" vertical="center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2" fontId="17" fillId="6" borderId="1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1" xfId="0" applyNumberFormat="1" applyBorder="1" applyAlignment="1">
      <alignment horizontal="right" vertical="center"/>
    </xf>
    <xf numFmtId="0" fontId="19" fillId="0" borderId="1" xfId="3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2" fontId="0" fillId="4" borderId="1" xfId="0" applyNumberFormat="1" applyFill="1" applyBorder="1" applyAlignment="1">
      <alignment horizontal="right" vertical="center"/>
    </xf>
    <xf numFmtId="2" fontId="0" fillId="0" borderId="0" xfId="0" applyNumberFormat="1"/>
    <xf numFmtId="0" fontId="17" fillId="0" borderId="0" xfId="0" applyFont="1"/>
    <xf numFmtId="0" fontId="19" fillId="0" borderId="0" xfId="0" applyFont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vertical="center"/>
    </xf>
    <xf numFmtId="2" fontId="17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3" fontId="19" fillId="0" borderId="1" xfId="0" applyNumberFormat="1" applyFont="1" applyBorder="1" applyAlignment="1">
      <alignment horizontal="left" vertical="center"/>
    </xf>
    <xf numFmtId="3" fontId="4" fillId="0" borderId="1" xfId="0" quotePrefix="1" applyNumberFormat="1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16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 vertical="center"/>
    </xf>
    <xf numFmtId="0" fontId="19" fillId="0" borderId="1" xfId="0" quotePrefix="1" applyFont="1" applyBorder="1" applyAlignment="1">
      <alignment horizontal="left" vertical="center" wrapText="1"/>
    </xf>
    <xf numFmtId="0" fontId="19" fillId="0" borderId="0" xfId="3" applyFont="1" applyAlignment="1">
      <alignment horizontal="center" vertical="center"/>
    </xf>
    <xf numFmtId="0" fontId="19" fillId="0" borderId="0" xfId="3" applyFont="1" applyAlignment="1">
      <alignment horizontal="left" vertical="center" wrapText="1"/>
    </xf>
    <xf numFmtId="167" fontId="0" fillId="0" borderId="1" xfId="0" applyNumberFormat="1" applyBorder="1" applyAlignment="1">
      <alignment horizontal="right" vertical="center"/>
    </xf>
    <xf numFmtId="168" fontId="0" fillId="0" borderId="1" xfId="0" applyNumberFormat="1" applyBorder="1" applyAlignment="1">
      <alignment horizontal="right" vertical="center"/>
    </xf>
    <xf numFmtId="0" fontId="4" fillId="0" borderId="1" xfId="0" quotePrefix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center" wrapText="1"/>
    </xf>
    <xf numFmtId="3" fontId="4" fillId="0" borderId="1" xfId="0" quotePrefix="1" applyNumberFormat="1" applyFont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right" vertical="center"/>
    </xf>
    <xf numFmtId="165" fontId="0" fillId="4" borderId="1" xfId="0" applyNumberFormat="1" applyFill="1" applyBorder="1" applyAlignment="1">
      <alignment horizontal="right" vertical="center"/>
    </xf>
    <xf numFmtId="166" fontId="17" fillId="0" borderId="1" xfId="0" applyNumberFormat="1" applyFont="1" applyBorder="1" applyAlignment="1">
      <alignment horizontal="right" vertical="center"/>
    </xf>
    <xf numFmtId="4" fontId="0" fillId="4" borderId="1" xfId="0" applyNumberFormat="1" applyFill="1" applyBorder="1" applyAlignment="1">
      <alignment horizontal="right" vertical="center"/>
    </xf>
    <xf numFmtId="0" fontId="7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0" fillId="0" borderId="1" xfId="0" applyBorder="1" applyAlignment="1">
      <alignment horizontal="right" vertical="center"/>
    </xf>
    <xf numFmtId="2" fontId="15" fillId="4" borderId="1" xfId="0" applyNumberFormat="1" applyFont="1" applyFill="1" applyBorder="1" applyAlignment="1">
      <alignment vertical="center"/>
    </xf>
    <xf numFmtId="0" fontId="15" fillId="0" borderId="1" xfId="0" quotePrefix="1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right" vertical="center"/>
    </xf>
    <xf numFmtId="0" fontId="0" fillId="8" borderId="1" xfId="0" applyFill="1" applyBorder="1" applyAlignment="1">
      <alignment horizontal="right" vertical="center"/>
    </xf>
    <xf numFmtId="2" fontId="15" fillId="0" borderId="1" xfId="0" applyNumberFormat="1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left" vertical="center"/>
    </xf>
    <xf numFmtId="4" fontId="19" fillId="0" borderId="1" xfId="0" applyNumberFormat="1" applyFont="1" applyBorder="1" applyAlignment="1">
      <alignment horizontal="left" vertical="center" wrapText="1"/>
    </xf>
    <xf numFmtId="4" fontId="17" fillId="6" borderId="1" xfId="0" applyNumberFormat="1" applyFont="1" applyFill="1" applyBorder="1" applyAlignment="1">
      <alignment horizontal="right" vertical="center"/>
    </xf>
    <xf numFmtId="4" fontId="14" fillId="0" borderId="1" xfId="0" applyNumberFormat="1" applyFont="1" applyBorder="1" applyAlignment="1">
      <alignment vertical="center"/>
    </xf>
    <xf numFmtId="0" fontId="17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vertical="center"/>
    </xf>
    <xf numFmtId="2" fontId="19" fillId="0" borderId="1" xfId="0" applyNumberFormat="1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9" fillId="0" borderId="1" xfId="0" quotePrefix="1" applyFont="1" applyBorder="1" applyAlignment="1">
      <alignment horizontal="left" vertical="center"/>
    </xf>
    <xf numFmtId="4" fontId="17" fillId="6" borderId="8" xfId="0" applyNumberFormat="1" applyFont="1" applyFill="1" applyBorder="1" applyAlignment="1">
      <alignment horizontal="right" vertical="center"/>
    </xf>
    <xf numFmtId="0" fontId="0" fillId="0" borderId="1" xfId="0" applyBorder="1"/>
    <xf numFmtId="4" fontId="0" fillId="0" borderId="1" xfId="0" applyNumberFormat="1" applyBorder="1"/>
    <xf numFmtId="4" fontId="0" fillId="6" borderId="1" xfId="0" applyNumberFormat="1" applyFill="1" applyBorder="1" applyAlignment="1">
      <alignment horizontal="right" vertical="center"/>
    </xf>
    <xf numFmtId="0" fontId="19" fillId="0" borderId="4" xfId="0" quotePrefix="1" applyFont="1" applyBorder="1" applyAlignment="1">
      <alignment horizontal="center" vertical="center"/>
    </xf>
    <xf numFmtId="0" fontId="17" fillId="4" borderId="1" xfId="0" applyFont="1" applyFill="1" applyBorder="1" applyAlignment="1">
      <alignment vertical="center" wrapText="1"/>
    </xf>
    <xf numFmtId="4" fontId="0" fillId="0" borderId="1" xfId="0" applyNumberFormat="1" applyBorder="1" applyAlignment="1">
      <alignment horizontal="right" vertical="center"/>
    </xf>
    <xf numFmtId="4" fontId="0" fillId="0" borderId="0" xfId="0" applyNumberFormat="1" applyAlignment="1">
      <alignment horizontal="right" vertical="center"/>
    </xf>
    <xf numFmtId="4" fontId="17" fillId="6" borderId="0" xfId="0" applyNumberFormat="1" applyFont="1" applyFill="1" applyAlignment="1">
      <alignment horizontal="right" vertical="center"/>
    </xf>
    <xf numFmtId="0" fontId="19" fillId="4" borderId="1" xfId="0" applyFont="1" applyFill="1" applyBorder="1" applyAlignment="1">
      <alignment horizontal="left" vertical="center" wrapText="1"/>
    </xf>
    <xf numFmtId="4" fontId="0" fillId="0" borderId="0" xfId="0" applyNumberFormat="1"/>
    <xf numFmtId="0" fontId="15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166" fontId="17" fillId="4" borderId="1" xfId="0" applyNumberFormat="1" applyFont="1" applyFill="1" applyBorder="1" applyAlignment="1">
      <alignment horizontal="right" vertical="center"/>
    </xf>
    <xf numFmtId="166" fontId="17" fillId="0" borderId="1" xfId="0" applyNumberFormat="1" applyFont="1" applyBorder="1" applyAlignment="1">
      <alignment horizontal="center" vertical="center"/>
    </xf>
    <xf numFmtId="166" fontId="0" fillId="0" borderId="0" xfId="0" applyNumberFormat="1"/>
    <xf numFmtId="166" fontId="0" fillId="0" borderId="0" xfId="0" applyNumberFormat="1" applyAlignment="1">
      <alignment horizontal="center" vertical="center"/>
    </xf>
    <xf numFmtId="166" fontId="19" fillId="0" borderId="0" xfId="3" applyNumberFormat="1" applyFont="1" applyAlignment="1">
      <alignment horizontal="left" vertical="center" wrapText="1"/>
    </xf>
    <xf numFmtId="166" fontId="0" fillId="4" borderId="1" xfId="0" applyNumberFormat="1" applyFill="1" applyBorder="1" applyAlignment="1">
      <alignment horizontal="right" vertical="center"/>
    </xf>
    <xf numFmtId="0" fontId="2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right" vertical="center" wrapText="1"/>
    </xf>
    <xf numFmtId="2" fontId="0" fillId="0" borderId="1" xfId="0" applyNumberFormat="1" applyBorder="1" applyAlignment="1">
      <alignment horizontal="right" vertical="center" wrapText="1"/>
    </xf>
    <xf numFmtId="0" fontId="0" fillId="0" borderId="0" xfId="0" applyAlignment="1">
      <alignment vertical="top"/>
    </xf>
    <xf numFmtId="0" fontId="0" fillId="0" borderId="1" xfId="0" applyBorder="1" applyAlignment="1">
      <alignment horizontal="right" vertical="center" wrapText="1"/>
    </xf>
    <xf numFmtId="0" fontId="15" fillId="4" borderId="1" xfId="0" quotePrefix="1" applyFont="1" applyFill="1" applyBorder="1" applyAlignment="1">
      <alignment vertical="center" wrapText="1"/>
    </xf>
    <xf numFmtId="0" fontId="7" fillId="0" borderId="1" xfId="0" applyFont="1" applyBorder="1" applyAlignment="1">
      <alignment horizontal="right" vertical="center" wrapText="1"/>
    </xf>
    <xf numFmtId="4" fontId="14" fillId="7" borderId="1" xfId="0" applyNumberFormat="1" applyFont="1" applyFill="1" applyBorder="1" applyAlignment="1">
      <alignment horizontal="right" vertical="center"/>
    </xf>
    <xf numFmtId="0" fontId="15" fillId="7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vertical="center"/>
    </xf>
    <xf numFmtId="0" fontId="22" fillId="0" borderId="0" xfId="0" applyFont="1"/>
    <xf numFmtId="169" fontId="0" fillId="0" borderId="0" xfId="0" applyNumberFormat="1"/>
    <xf numFmtId="44" fontId="0" fillId="0" borderId="0" xfId="0" applyNumberFormat="1"/>
    <xf numFmtId="0" fontId="0" fillId="0" borderId="6" xfId="0" applyBorder="1"/>
    <xf numFmtId="169" fontId="0" fillId="0" borderId="6" xfId="0" applyNumberFormat="1" applyBorder="1"/>
    <xf numFmtId="2" fontId="19" fillId="0" borderId="0" xfId="0" applyNumberFormat="1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5" fillId="7" borderId="1" xfId="0" applyNumberFormat="1" applyFont="1" applyFill="1" applyBorder="1" applyAlignment="1">
      <alignment vertical="center"/>
    </xf>
    <xf numFmtId="2" fontId="15" fillId="7" borderId="1" xfId="0" applyNumberFormat="1" applyFont="1" applyFill="1" applyBorder="1" applyAlignment="1">
      <alignment vertical="center"/>
    </xf>
    <xf numFmtId="2" fontId="14" fillId="7" borderId="1" xfId="0" applyNumberFormat="1" applyFont="1" applyFill="1" applyBorder="1" applyAlignment="1">
      <alignment vertical="center"/>
    </xf>
    <xf numFmtId="0" fontId="19" fillId="0" borderId="9" xfId="0" quotePrefix="1" applyFont="1" applyBorder="1" applyAlignment="1">
      <alignment horizontal="center" vertical="center" wrapText="1"/>
    </xf>
    <xf numFmtId="0" fontId="19" fillId="0" borderId="8" xfId="0" quotePrefix="1" applyFont="1" applyBorder="1" applyAlignment="1">
      <alignment horizontal="center" vertical="center" wrapText="1"/>
    </xf>
    <xf numFmtId="0" fontId="19" fillId="0" borderId="0" xfId="0" quotePrefix="1" applyFont="1" applyAlignment="1">
      <alignment horizontal="center" vertical="center" wrapText="1"/>
    </xf>
    <xf numFmtId="0" fontId="19" fillId="0" borderId="5" xfId="0" quotePrefix="1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44" fontId="17" fillId="0" borderId="0" xfId="0" applyNumberFormat="1" applyFont="1"/>
    <xf numFmtId="0" fontId="17" fillId="11" borderId="0" xfId="0" applyFont="1" applyFill="1" applyAlignment="1">
      <alignment horizontal="center" vertical="center" wrapText="1"/>
    </xf>
    <xf numFmtId="0" fontId="17" fillId="11" borderId="0" xfId="0" applyFont="1" applyFill="1" applyAlignment="1">
      <alignment wrapText="1"/>
    </xf>
    <xf numFmtId="0" fontId="17" fillId="11" borderId="0" xfId="0" applyFont="1" applyFill="1" applyAlignment="1">
      <alignment horizontal="center" vertical="center"/>
    </xf>
    <xf numFmtId="10" fontId="0" fillId="0" borderId="0" xfId="0" applyNumberFormat="1"/>
    <xf numFmtId="0" fontId="24" fillId="0" borderId="0" xfId="4"/>
    <xf numFmtId="170" fontId="0" fillId="0" borderId="0" xfId="0" applyNumberFormat="1"/>
    <xf numFmtId="170" fontId="17" fillId="0" borderId="0" xfId="0" applyNumberFormat="1" applyFont="1"/>
    <xf numFmtId="10" fontId="17" fillId="0" borderId="0" xfId="0" applyNumberFormat="1" applyFont="1"/>
    <xf numFmtId="10" fontId="14" fillId="0" borderId="1" xfId="0" applyNumberFormat="1" applyFont="1" applyBorder="1" applyAlignment="1">
      <alignment vertical="center"/>
    </xf>
    <xf numFmtId="44" fontId="14" fillId="0" borderId="1" xfId="0" applyNumberFormat="1" applyFont="1" applyBorder="1" applyAlignment="1">
      <alignment vertical="center"/>
    </xf>
    <xf numFmtId="171" fontId="17" fillId="0" borderId="0" xfId="0" applyNumberFormat="1" applyFont="1"/>
    <xf numFmtId="0" fontId="25" fillId="12" borderId="10" xfId="0" applyFont="1" applyFill="1" applyBorder="1" applyAlignment="1">
      <alignment horizontal="center" vertical="center" wrapText="1"/>
    </xf>
    <xf numFmtId="2" fontId="15" fillId="13" borderId="1" xfId="0" applyNumberFormat="1" applyFont="1" applyFill="1" applyBorder="1" applyAlignment="1">
      <alignment vertical="center"/>
    </xf>
    <xf numFmtId="2" fontId="14" fillId="13" borderId="1" xfId="0" applyNumberFormat="1" applyFont="1" applyFill="1" applyBorder="1" applyAlignment="1">
      <alignment vertical="center"/>
    </xf>
    <xf numFmtId="2" fontId="15" fillId="13" borderId="1" xfId="0" applyNumberFormat="1" applyFont="1" applyFill="1" applyBorder="1" applyAlignment="1">
      <alignment horizontal="center" vertical="center"/>
    </xf>
    <xf numFmtId="2" fontId="15" fillId="14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2" xfId="0" quotePrefix="1" applyFont="1" applyBorder="1" applyAlignment="1">
      <alignment horizontal="left" vertical="center" wrapText="1"/>
    </xf>
    <xf numFmtId="0" fontId="12" fillId="0" borderId="3" xfId="0" quotePrefix="1" applyFont="1" applyBorder="1" applyAlignment="1">
      <alignment horizontal="left" vertical="center" wrapText="1"/>
    </xf>
    <xf numFmtId="0" fontId="12" fillId="0" borderId="4" xfId="0" quotePrefix="1" applyFont="1" applyBorder="1" applyAlignment="1">
      <alignment horizontal="left" vertical="center" wrapText="1"/>
    </xf>
    <xf numFmtId="0" fontId="9" fillId="0" borderId="0" xfId="0" applyFont="1" applyAlignment="1">
      <alignment horizontal="center" vertical="top"/>
    </xf>
    <xf numFmtId="0" fontId="8" fillId="0" borderId="2" xfId="0" quotePrefix="1" applyFont="1" applyBorder="1" applyAlignment="1">
      <alignment horizontal="left" vertical="center"/>
    </xf>
    <xf numFmtId="0" fontId="8" fillId="0" borderId="3" xfId="0" quotePrefix="1" applyFont="1" applyBorder="1" applyAlignment="1">
      <alignment horizontal="left" vertical="center"/>
    </xf>
    <xf numFmtId="0" fontId="8" fillId="0" borderId="4" xfId="0" quotePrefix="1" applyFont="1" applyBorder="1" applyAlignment="1">
      <alignment horizontal="left" vertical="center"/>
    </xf>
    <xf numFmtId="0" fontId="12" fillId="0" borderId="2" xfId="0" quotePrefix="1" applyFont="1" applyBorder="1" applyAlignment="1">
      <alignment horizontal="left"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" fontId="15" fillId="0" borderId="2" xfId="0" applyNumberFormat="1" applyFont="1" applyBorder="1" applyAlignment="1">
      <alignment horizontal="left" vertical="center"/>
    </xf>
    <xf numFmtId="4" fontId="15" fillId="0" borderId="3" xfId="0" applyNumberFormat="1" applyFont="1" applyBorder="1" applyAlignment="1">
      <alignment horizontal="left" vertical="center"/>
    </xf>
    <xf numFmtId="4" fontId="15" fillId="0" borderId="4" xfId="0" applyNumberFormat="1" applyFont="1" applyBorder="1" applyAlignment="1">
      <alignment horizontal="left" vertical="center"/>
    </xf>
    <xf numFmtId="0" fontId="18" fillId="7" borderId="1" xfId="0" applyFont="1" applyFill="1" applyBorder="1" applyAlignment="1">
      <alignment horizontal="center"/>
    </xf>
    <xf numFmtId="0" fontId="19" fillId="0" borderId="1" xfId="3" applyFont="1" applyBorder="1" applyAlignment="1">
      <alignment horizontal="left" vertical="center" wrapText="1"/>
    </xf>
    <xf numFmtId="0" fontId="18" fillId="7" borderId="1" xfId="0" quotePrefix="1" applyFont="1" applyFill="1" applyBorder="1" applyAlignment="1">
      <alignment horizontal="center" wrapText="1"/>
    </xf>
    <xf numFmtId="0" fontId="18" fillId="7" borderId="1" xfId="0" applyFont="1" applyFill="1" applyBorder="1" applyAlignment="1">
      <alignment horizontal="center" wrapText="1"/>
    </xf>
    <xf numFmtId="0" fontId="19" fillId="0" borderId="2" xfId="3" applyFont="1" applyBorder="1" applyAlignment="1">
      <alignment horizontal="left" vertical="center" wrapText="1"/>
    </xf>
    <xf numFmtId="0" fontId="19" fillId="0" borderId="3" xfId="3" applyFont="1" applyBorder="1" applyAlignment="1">
      <alignment horizontal="left" vertical="center" wrapText="1"/>
    </xf>
    <xf numFmtId="0" fontId="19" fillId="0" borderId="4" xfId="3" applyFont="1" applyBorder="1" applyAlignment="1">
      <alignment horizontal="left" vertical="center" wrapText="1"/>
    </xf>
    <xf numFmtId="0" fontId="18" fillId="6" borderId="1" xfId="0" quotePrefix="1" applyFont="1" applyFill="1" applyBorder="1" applyAlignment="1">
      <alignment horizontal="center" wrapText="1"/>
    </xf>
    <xf numFmtId="0" fontId="18" fillId="6" borderId="1" xfId="0" applyFont="1" applyFill="1" applyBorder="1" applyAlignment="1">
      <alignment horizontal="center" wrapText="1"/>
    </xf>
    <xf numFmtId="0" fontId="18" fillId="4" borderId="1" xfId="0" applyFont="1" applyFill="1" applyBorder="1" applyAlignment="1">
      <alignment horizontal="center"/>
    </xf>
    <xf numFmtId="0" fontId="18" fillId="7" borderId="1" xfId="0" quotePrefix="1" applyFont="1" applyFill="1" applyBorder="1" applyAlignment="1">
      <alignment horizontal="center"/>
    </xf>
    <xf numFmtId="0" fontId="18" fillId="6" borderId="1" xfId="0" quotePrefix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18" fillId="4" borderId="1" xfId="0" quotePrefix="1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18" fillId="4" borderId="3" xfId="0" applyFont="1" applyFill="1" applyBorder="1" applyAlignment="1">
      <alignment horizontal="center"/>
    </xf>
    <xf numFmtId="0" fontId="18" fillId="4" borderId="4" xfId="0" applyFont="1" applyFill="1" applyBorder="1" applyAlignment="1">
      <alignment horizontal="center"/>
    </xf>
    <xf numFmtId="0" fontId="18" fillId="7" borderId="2" xfId="0" applyFont="1" applyFill="1" applyBorder="1" applyAlignment="1">
      <alignment horizontal="center"/>
    </xf>
    <xf numFmtId="0" fontId="18" fillId="7" borderId="3" xfId="0" applyFont="1" applyFill="1" applyBorder="1" applyAlignment="1">
      <alignment horizontal="center"/>
    </xf>
    <xf numFmtId="0" fontId="18" fillId="7" borderId="4" xfId="0" applyFont="1" applyFill="1" applyBorder="1" applyAlignment="1">
      <alignment horizontal="center"/>
    </xf>
    <xf numFmtId="0" fontId="18" fillId="10" borderId="2" xfId="0" applyFont="1" applyFill="1" applyBorder="1" applyAlignment="1">
      <alignment horizontal="center" vertical="center" wrapText="1"/>
    </xf>
    <xf numFmtId="0" fontId="18" fillId="10" borderId="3" xfId="0" applyFont="1" applyFill="1" applyBorder="1" applyAlignment="1">
      <alignment horizontal="center" vertical="center" wrapText="1"/>
    </xf>
    <xf numFmtId="0" fontId="18" fillId="10" borderId="4" xfId="0" applyFont="1" applyFill="1" applyBorder="1" applyAlignment="1">
      <alignment horizontal="center" vertical="center" wrapText="1"/>
    </xf>
    <xf numFmtId="0" fontId="18" fillId="10" borderId="1" xfId="0" applyFont="1" applyFill="1" applyBorder="1" applyAlignment="1">
      <alignment horizontal="center"/>
    </xf>
    <xf numFmtId="0" fontId="18" fillId="10" borderId="2" xfId="0" applyFont="1" applyFill="1" applyBorder="1" applyAlignment="1">
      <alignment horizontal="center"/>
    </xf>
    <xf numFmtId="0" fontId="18" fillId="10" borderId="3" xfId="0" applyFont="1" applyFill="1" applyBorder="1" applyAlignment="1">
      <alignment horizontal="center"/>
    </xf>
    <xf numFmtId="0" fontId="18" fillId="10" borderId="4" xfId="0" applyFont="1" applyFill="1" applyBorder="1" applyAlignment="1">
      <alignment horizontal="center"/>
    </xf>
    <xf numFmtId="0" fontId="18" fillId="10" borderId="1" xfId="0" quotePrefix="1" applyFont="1" applyFill="1" applyBorder="1" applyAlignment="1">
      <alignment horizontal="center"/>
    </xf>
    <xf numFmtId="0" fontId="18" fillId="10" borderId="1" xfId="0" applyFont="1" applyFill="1" applyBorder="1" applyAlignment="1">
      <alignment horizontal="center" wrapText="1"/>
    </xf>
    <xf numFmtId="0" fontId="18" fillId="10" borderId="2" xfId="0" applyFont="1" applyFill="1" applyBorder="1"/>
    <xf numFmtId="0" fontId="18" fillId="10" borderId="3" xfId="0" applyFont="1" applyFill="1" applyBorder="1"/>
    <xf numFmtId="0" fontId="18" fillId="10" borderId="4" xfId="0" applyFont="1" applyFill="1" applyBorder="1"/>
    <xf numFmtId="0" fontId="18" fillId="10" borderId="2" xfId="0" quotePrefix="1" applyFont="1" applyFill="1" applyBorder="1" applyAlignment="1">
      <alignment horizontal="center" wrapText="1"/>
    </xf>
    <xf numFmtId="0" fontId="18" fillId="10" borderId="3" xfId="0" applyFont="1" applyFill="1" applyBorder="1" applyAlignment="1">
      <alignment horizontal="center" wrapText="1"/>
    </xf>
    <xf numFmtId="0" fontId="18" fillId="10" borderId="4" xfId="0" applyFont="1" applyFill="1" applyBorder="1" applyAlignment="1">
      <alignment horizontal="center" wrapText="1"/>
    </xf>
    <xf numFmtId="0" fontId="18" fillId="4" borderId="1" xfId="0" applyFont="1" applyFill="1" applyBorder="1" applyAlignment="1">
      <alignment horizontal="center" wrapText="1"/>
    </xf>
    <xf numFmtId="0" fontId="18" fillId="5" borderId="1" xfId="0" quotePrefix="1" applyFont="1" applyFill="1" applyBorder="1" applyAlignment="1">
      <alignment horizontal="center"/>
    </xf>
    <xf numFmtId="0" fontId="18" fillId="5" borderId="1" xfId="0" applyFont="1" applyFill="1" applyBorder="1" applyAlignment="1">
      <alignment horizontal="center"/>
    </xf>
    <xf numFmtId="0" fontId="18" fillId="10" borderId="1" xfId="0" quotePrefix="1" applyFont="1" applyFill="1" applyBorder="1" applyAlignment="1">
      <alignment horizontal="center" wrapText="1"/>
    </xf>
    <xf numFmtId="0" fontId="18" fillId="7" borderId="5" xfId="0" quotePrefix="1" applyFont="1" applyFill="1" applyBorder="1" applyAlignment="1">
      <alignment horizontal="center" wrapText="1"/>
    </xf>
    <xf numFmtId="0" fontId="18" fillId="7" borderId="6" xfId="0" quotePrefix="1" applyFont="1" applyFill="1" applyBorder="1" applyAlignment="1">
      <alignment horizontal="center" wrapText="1"/>
    </xf>
    <xf numFmtId="0" fontId="18" fillId="7" borderId="2" xfId="0" quotePrefix="1" applyFont="1" applyFill="1" applyBorder="1" applyAlignment="1">
      <alignment horizontal="center"/>
    </xf>
    <xf numFmtId="0" fontId="18" fillId="7" borderId="3" xfId="0" quotePrefix="1" applyFont="1" applyFill="1" applyBorder="1" applyAlignment="1">
      <alignment horizontal="center"/>
    </xf>
    <xf numFmtId="0" fontId="18" fillId="7" borderId="4" xfId="0" quotePrefix="1" applyFont="1" applyFill="1" applyBorder="1" applyAlignment="1">
      <alignment horizontal="center"/>
    </xf>
    <xf numFmtId="0" fontId="18" fillId="7" borderId="5" xfId="0" quotePrefix="1" applyFont="1" applyFill="1" applyBorder="1" applyAlignment="1">
      <alignment horizontal="center"/>
    </xf>
    <xf numFmtId="0" fontId="18" fillId="7" borderId="6" xfId="0" quotePrefix="1" applyFont="1" applyFill="1" applyBorder="1" applyAlignment="1">
      <alignment horizontal="center"/>
    </xf>
    <xf numFmtId="0" fontId="19" fillId="0" borderId="2" xfId="0" quotePrefix="1" applyFont="1" applyBorder="1" applyAlignment="1">
      <alignment horizontal="center" vertical="center"/>
    </xf>
    <xf numFmtId="0" fontId="19" fillId="0" borderId="3" xfId="0" quotePrefix="1" applyFont="1" applyBorder="1" applyAlignment="1">
      <alignment horizontal="center" vertical="center"/>
    </xf>
    <xf numFmtId="0" fontId="19" fillId="0" borderId="4" xfId="0" quotePrefix="1" applyFont="1" applyBorder="1" applyAlignment="1">
      <alignment horizontal="center" vertical="center"/>
    </xf>
    <xf numFmtId="0" fontId="23" fillId="7" borderId="5" xfId="0" quotePrefix="1" applyFont="1" applyFill="1" applyBorder="1" applyAlignment="1">
      <alignment horizontal="center"/>
    </xf>
    <xf numFmtId="0" fontId="23" fillId="7" borderId="6" xfId="0" quotePrefix="1" applyFont="1" applyFill="1" applyBorder="1" applyAlignment="1">
      <alignment horizontal="center"/>
    </xf>
    <xf numFmtId="0" fontId="18" fillId="7" borderId="7" xfId="0" quotePrefix="1" applyFont="1" applyFill="1" applyBorder="1" applyAlignment="1">
      <alignment horizontal="center"/>
    </xf>
    <xf numFmtId="0" fontId="18" fillId="7" borderId="0" xfId="0" quotePrefix="1" applyFont="1" applyFill="1" applyAlignment="1">
      <alignment horizontal="center"/>
    </xf>
    <xf numFmtId="0" fontId="19" fillId="0" borderId="9" xfId="0" quotePrefix="1" applyFont="1" applyBorder="1" applyAlignment="1">
      <alignment horizontal="center" vertical="center" wrapText="1"/>
    </xf>
    <xf numFmtId="0" fontId="19" fillId="0" borderId="8" xfId="0" quotePrefix="1" applyFont="1" applyBorder="1" applyAlignment="1">
      <alignment horizontal="center" vertical="center" wrapText="1"/>
    </xf>
    <xf numFmtId="0" fontId="18" fillId="5" borderId="5" xfId="0" quotePrefix="1" applyFont="1" applyFill="1" applyBorder="1" applyAlignment="1">
      <alignment horizontal="center"/>
    </xf>
    <xf numFmtId="0" fontId="18" fillId="5" borderId="6" xfId="0" quotePrefix="1" applyFont="1" applyFill="1" applyBorder="1" applyAlignment="1">
      <alignment horizontal="center"/>
    </xf>
    <xf numFmtId="4" fontId="17" fillId="6" borderId="2" xfId="0" applyNumberFormat="1" applyFont="1" applyFill="1" applyBorder="1" applyAlignment="1">
      <alignment horizontal="center" vertical="center"/>
    </xf>
    <xf numFmtId="4" fontId="17" fillId="6" borderId="4" xfId="0" applyNumberFormat="1" applyFont="1" applyFill="1" applyBorder="1" applyAlignment="1">
      <alignment horizontal="center" vertical="center"/>
    </xf>
    <xf numFmtId="0" fontId="17" fillId="11" borderId="0" xfId="0" applyFont="1" applyFill="1" applyAlignment="1">
      <alignment horizontal="center"/>
    </xf>
  </cellXfs>
  <cellStyles count="5">
    <cellStyle name="Hiperlink" xfId="4" builtinId="8"/>
    <cellStyle name="Normal" xfId="0" builtinId="0"/>
    <cellStyle name="Normal 3" xfId="3" xr:uid="{00000000-0005-0000-0000-000002000000}"/>
    <cellStyle name="Porcentagem" xfId="1" builtinId="5"/>
    <cellStyle name="Separador de milhares 2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17/10/relationships/person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NUL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NUL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google.com/aclk?sa=L&amp;ai=DChcSEwj0huK51rbsAhWJiJEKHYF-BX0YABAGGgJjZQ&amp;sig=AOD64_1ZjzSFq9AVXJtCakUlx_jXptOhuQ&amp;ctype=5&amp;q=&amp;ved=2ahUKEwinv9u51rbsAhXgGbkGHUPuA3MQ9aACegQIFRBp&amp;adurl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62"/>
  <sheetViews>
    <sheetView tabSelected="1" view="pageBreakPreview" zoomScale="70" zoomScaleNormal="70" zoomScaleSheetLayoutView="70" workbookViewId="0">
      <pane ySplit="4" topLeftCell="A143" activePane="bottomLeft" state="frozen"/>
      <selection pane="bottomLeft" activeCell="A161" sqref="A161:E161"/>
    </sheetView>
  </sheetViews>
  <sheetFormatPr defaultColWidth="8.85546875" defaultRowHeight="15" x14ac:dyDescent="0.25"/>
  <cols>
    <col min="1" max="1" width="5.7109375" style="1" customWidth="1"/>
    <col min="2" max="2" width="56" style="34" customWidth="1"/>
    <col min="3" max="3" width="6.42578125" style="3" customWidth="1"/>
    <col min="4" max="4" width="12.5703125" style="1" customWidth="1"/>
    <col min="5" max="5" width="10.140625" style="1" customWidth="1"/>
    <col min="6" max="6" width="15.85546875" style="1" customWidth="1"/>
    <col min="7" max="7" width="18.140625" style="1" customWidth="1"/>
    <col min="8" max="8" width="15.28515625" style="1" customWidth="1"/>
    <col min="9" max="10" width="8.85546875" style="1"/>
    <col min="11" max="11" width="27.42578125" style="1" bestFit="1" customWidth="1"/>
    <col min="12" max="16384" width="8.85546875" style="1"/>
  </cols>
  <sheetData>
    <row r="1" spans="1:11" x14ac:dyDescent="0.25">
      <c r="A1" s="173" t="s">
        <v>1749</v>
      </c>
      <c r="B1" s="173"/>
      <c r="C1" s="173"/>
      <c r="D1" s="173"/>
      <c r="E1" s="173"/>
      <c r="F1" s="173"/>
      <c r="G1" s="173"/>
    </row>
    <row r="2" spans="1:11" x14ac:dyDescent="0.25">
      <c r="A2" s="173" t="s">
        <v>116</v>
      </c>
      <c r="B2" s="173"/>
      <c r="C2" s="173"/>
      <c r="D2" s="173"/>
      <c r="E2" s="173"/>
      <c r="F2" s="173"/>
      <c r="G2" s="173"/>
      <c r="H2" s="2"/>
    </row>
    <row r="3" spans="1:11" x14ac:dyDescent="0.25">
      <c r="B3" s="1"/>
      <c r="H3" s="2"/>
    </row>
    <row r="4" spans="1:11" ht="45.75" customHeight="1" x14ac:dyDescent="0.25">
      <c r="A4" s="4" t="s">
        <v>8</v>
      </c>
      <c r="B4" s="4" t="s">
        <v>9</v>
      </c>
      <c r="C4" s="4" t="s">
        <v>10</v>
      </c>
      <c r="D4" s="5" t="s">
        <v>11</v>
      </c>
      <c r="E4" s="5" t="s">
        <v>12</v>
      </c>
      <c r="F4" s="6" t="s">
        <v>13</v>
      </c>
      <c r="G4" s="7" t="s">
        <v>50</v>
      </c>
      <c r="H4" s="2"/>
    </row>
    <row r="5" spans="1:11" x14ac:dyDescent="0.25">
      <c r="A5" s="8">
        <v>1</v>
      </c>
      <c r="B5" s="179" t="s">
        <v>51</v>
      </c>
      <c r="C5" s="179"/>
      <c r="D5" s="179"/>
      <c r="E5" s="179"/>
      <c r="F5" s="179"/>
      <c r="G5" s="179"/>
    </row>
    <row r="6" spans="1:11" ht="17.25" customHeight="1" x14ac:dyDescent="0.25">
      <c r="A6" s="9" t="s">
        <v>25</v>
      </c>
      <c r="B6" s="186" t="s">
        <v>52</v>
      </c>
      <c r="C6" s="186"/>
      <c r="D6" s="186"/>
      <c r="E6" s="186"/>
      <c r="F6" s="186"/>
      <c r="G6" s="186"/>
    </row>
    <row r="7" spans="1:11" x14ac:dyDescent="0.25">
      <c r="A7" s="133"/>
      <c r="B7" s="86" t="s">
        <v>1114</v>
      </c>
      <c r="C7" s="11" t="s">
        <v>0</v>
      </c>
      <c r="D7" s="134">
        <f>'Memorial de Calculo'!D3</f>
        <v>13995.790300000001</v>
      </c>
      <c r="E7" s="12">
        <f>'Composição de Custos (SINAPI)'!H4</f>
        <v>0.30430199999999996</v>
      </c>
      <c r="F7" s="13">
        <f>D7*E7</f>
        <v>4258.9469798705995</v>
      </c>
      <c r="G7" s="14">
        <f>(F7/$G$162)</f>
        <v>3.6893969162918734E-4</v>
      </c>
    </row>
    <row r="8" spans="1:11" ht="24" x14ac:dyDescent="0.25">
      <c r="A8" s="10"/>
      <c r="B8" s="86" t="s">
        <v>1285</v>
      </c>
      <c r="C8" s="11" t="s">
        <v>1</v>
      </c>
      <c r="D8" s="134">
        <f>'Memorial de Calculo'!F7</f>
        <v>874.29</v>
      </c>
      <c r="E8" s="12">
        <f>'Composição de Custos (SINAPI)'!H14</f>
        <v>2.2445280000000003</v>
      </c>
      <c r="F8" s="13">
        <f>D8*E8</f>
        <v>1962.3683851200001</v>
      </c>
      <c r="G8" s="14">
        <f>(F8/$G$162)</f>
        <v>1.6999403615281365E-4</v>
      </c>
      <c r="I8" s="1">
        <v>2</v>
      </c>
    </row>
    <row r="9" spans="1:11" ht="24" x14ac:dyDescent="0.25">
      <c r="A9" s="10"/>
      <c r="B9" s="86" t="s">
        <v>1293</v>
      </c>
      <c r="C9" s="11" t="s">
        <v>93</v>
      </c>
      <c r="D9" s="15" t="s">
        <v>57</v>
      </c>
      <c r="E9" s="15" t="s">
        <v>57</v>
      </c>
      <c r="F9" s="16">
        <v>45808.7</v>
      </c>
      <c r="G9" s="14">
        <f>(F9/$G$162)</f>
        <v>3.9682690890055295E-3</v>
      </c>
    </row>
    <row r="10" spans="1:11" x14ac:dyDescent="0.25">
      <c r="A10" s="17" t="s">
        <v>54</v>
      </c>
      <c r="B10" s="178" t="s">
        <v>56</v>
      </c>
      <c r="C10" s="178"/>
      <c r="D10" s="178"/>
      <c r="E10" s="178"/>
      <c r="F10" s="178"/>
      <c r="G10" s="178"/>
    </row>
    <row r="11" spans="1:11" x14ac:dyDescent="0.25">
      <c r="A11" s="18" t="s">
        <v>55</v>
      </c>
      <c r="B11" s="86" t="s">
        <v>1292</v>
      </c>
      <c r="C11" s="11" t="s">
        <v>93</v>
      </c>
      <c r="D11" s="15" t="s">
        <v>57</v>
      </c>
      <c r="E11" s="15" t="s">
        <v>57</v>
      </c>
      <c r="F11" s="16">
        <v>6896.88</v>
      </c>
      <c r="G11" s="14">
        <f>(F11/$G$162)*100</f>
        <v>5.9745584822491045E-2</v>
      </c>
    </row>
    <row r="12" spans="1:11" ht="15" customHeight="1" x14ac:dyDescent="0.25">
      <c r="A12" s="8">
        <v>2</v>
      </c>
      <c r="B12" s="179" t="s">
        <v>105</v>
      </c>
      <c r="C12" s="179"/>
      <c r="D12" s="179"/>
      <c r="E12" s="179"/>
      <c r="F12" s="179"/>
      <c r="G12" s="179"/>
      <c r="H12" s="19"/>
      <c r="I12" s="19"/>
      <c r="J12" s="19"/>
      <c r="K12" s="19"/>
    </row>
    <row r="13" spans="1:11" x14ac:dyDescent="0.25">
      <c r="A13" s="9" t="s">
        <v>26</v>
      </c>
      <c r="B13" s="187" t="s">
        <v>109</v>
      </c>
      <c r="C13" s="186"/>
      <c r="D13" s="186"/>
      <c r="E13" s="186"/>
      <c r="F13" s="186"/>
      <c r="G13" s="186"/>
      <c r="H13" s="19"/>
      <c r="I13" s="19"/>
      <c r="J13" s="19"/>
      <c r="K13" s="19"/>
    </row>
    <row r="14" spans="1:11" ht="38.25" customHeight="1" x14ac:dyDescent="0.25">
      <c r="A14" s="18"/>
      <c r="B14" s="86" t="s">
        <v>1291</v>
      </c>
      <c r="C14" s="92" t="s">
        <v>0</v>
      </c>
      <c r="D14" s="134">
        <f>'Memorial de Calculo'!D20</f>
        <v>893.16450000000009</v>
      </c>
      <c r="E14" s="12">
        <f>'Composição de Custos (SINAPI)'!H20</f>
        <v>100.84358</v>
      </c>
      <c r="F14" s="13">
        <f>E14*D14</f>
        <v>90069.90570891001</v>
      </c>
      <c r="G14" s="14">
        <f>F14/$G$162</f>
        <v>7.8024834294426661E-3</v>
      </c>
      <c r="H14" s="19"/>
      <c r="I14" s="19"/>
      <c r="J14" s="19"/>
      <c r="K14" s="19"/>
    </row>
    <row r="15" spans="1:11" x14ac:dyDescent="0.25">
      <c r="A15" s="8">
        <v>3</v>
      </c>
      <c r="B15" s="179" t="s">
        <v>14</v>
      </c>
      <c r="C15" s="179"/>
      <c r="D15" s="179"/>
      <c r="E15" s="179"/>
      <c r="F15" s="179"/>
      <c r="G15" s="179"/>
    </row>
    <row r="16" spans="1:11" ht="15" customHeight="1" x14ac:dyDescent="0.25">
      <c r="A16" s="17" t="s">
        <v>27</v>
      </c>
      <c r="B16" s="178" t="s">
        <v>58</v>
      </c>
      <c r="C16" s="178"/>
      <c r="D16" s="178"/>
      <c r="E16" s="178"/>
      <c r="F16" s="178"/>
      <c r="G16" s="178"/>
      <c r="H16" s="3"/>
    </row>
    <row r="17" spans="1:8" ht="26.25" customHeight="1" x14ac:dyDescent="0.25">
      <c r="A17" s="18"/>
      <c r="B17" s="87" t="s">
        <v>1212</v>
      </c>
      <c r="C17" s="20" t="s">
        <v>0</v>
      </c>
      <c r="D17" s="134">
        <f>'Memorial de Calculo'!G24</f>
        <v>99</v>
      </c>
      <c r="E17" s="21">
        <f>'Composição de Custos (SINAPI)'!H31</f>
        <v>25.774176999999998</v>
      </c>
      <c r="F17" s="99">
        <f>D17*E17</f>
        <v>2551.6435229999997</v>
      </c>
      <c r="G17" s="14">
        <f>F17/$G$162</f>
        <v>2.2104115852408099E-4</v>
      </c>
      <c r="H17" s="3"/>
    </row>
    <row r="18" spans="1:8" ht="36" x14ac:dyDescent="0.25">
      <c r="A18" s="18"/>
      <c r="B18" s="87" t="s">
        <v>1230</v>
      </c>
      <c r="C18" s="22" t="s">
        <v>59</v>
      </c>
      <c r="D18" s="134">
        <f>'Memorial de Calculo'!E28</f>
        <v>4313.1639999999998</v>
      </c>
      <c r="E18" s="21">
        <f>'Composição de Custos (SINAPI)'!H45</f>
        <v>7.2756420000000004</v>
      </c>
      <c r="F18" s="99">
        <f>D18*E18</f>
        <v>31381.037151288001</v>
      </c>
      <c r="G18" s="14">
        <f>F18/$G$162</f>
        <v>2.7184443066140341E-3</v>
      </c>
      <c r="H18" s="3"/>
    </row>
    <row r="19" spans="1:8" ht="24" x14ac:dyDescent="0.25">
      <c r="A19" s="36"/>
      <c r="B19" s="87" t="s">
        <v>1194</v>
      </c>
      <c r="C19" s="22" t="s">
        <v>1</v>
      </c>
      <c r="D19" s="134">
        <f>'Memorial de Calculo'!G32</f>
        <v>582.86</v>
      </c>
      <c r="E19" s="21">
        <f>'Composição de Custos (SINAPI)'!H57</f>
        <v>375.33704999999998</v>
      </c>
      <c r="F19" s="99">
        <f>D19*E19</f>
        <v>218768.95296299999</v>
      </c>
      <c r="G19" s="14">
        <f>F19/$G$162</f>
        <v>1.8951292520354813E-2</v>
      </c>
      <c r="H19" s="3"/>
    </row>
    <row r="20" spans="1:8" x14ac:dyDescent="0.25">
      <c r="A20" s="36"/>
      <c r="B20" s="90" t="s">
        <v>1216</v>
      </c>
      <c r="C20" s="20" t="s">
        <v>1</v>
      </c>
      <c r="D20" s="134">
        <f>'Memorial de Calculo'!G32</f>
        <v>582.86</v>
      </c>
      <c r="E20" s="21">
        <v>20</v>
      </c>
      <c r="F20" s="99">
        <f>D20*E20</f>
        <v>11657.2</v>
      </c>
      <c r="G20" s="14">
        <f>F20/$G$162</f>
        <v>1.0098279677082139E-3</v>
      </c>
      <c r="H20" s="3"/>
    </row>
    <row r="21" spans="1:8" x14ac:dyDescent="0.25">
      <c r="A21" s="24">
        <v>4</v>
      </c>
      <c r="B21" s="180" t="s">
        <v>102</v>
      </c>
      <c r="C21" s="181"/>
      <c r="D21" s="181"/>
      <c r="E21" s="181"/>
      <c r="F21" s="181"/>
      <c r="G21" s="182"/>
    </row>
    <row r="22" spans="1:8" x14ac:dyDescent="0.25">
      <c r="A22" s="9" t="s">
        <v>28</v>
      </c>
      <c r="B22" s="183" t="s">
        <v>63</v>
      </c>
      <c r="C22" s="184"/>
      <c r="D22" s="184"/>
      <c r="E22" s="184"/>
      <c r="F22" s="184"/>
      <c r="G22" s="185"/>
    </row>
    <row r="23" spans="1:8" ht="36" x14ac:dyDescent="0.25">
      <c r="A23" s="25"/>
      <c r="B23" s="87" t="s">
        <v>1213</v>
      </c>
      <c r="C23" s="20" t="s">
        <v>0</v>
      </c>
      <c r="D23" s="144">
        <f>'Memorial de Calculo'!F39</f>
        <v>9625.630000000001</v>
      </c>
      <c r="E23" s="26">
        <f>'Composição de Custos (SINAPI)'!H78</f>
        <v>17.786254399999997</v>
      </c>
      <c r="F23" s="99">
        <f>E23*D23</f>
        <v>171203.90394027199</v>
      </c>
      <c r="G23" s="14">
        <f>F23/$G$162</f>
        <v>1.4830876229258924E-2</v>
      </c>
    </row>
    <row r="24" spans="1:8" ht="24" x14ac:dyDescent="0.25">
      <c r="A24" s="25"/>
      <c r="B24" s="87" t="s">
        <v>1214</v>
      </c>
      <c r="C24" s="22" t="s">
        <v>64</v>
      </c>
      <c r="D24" s="144">
        <f>'Memorial de Calculo'!D52</f>
        <v>19221.424800000001</v>
      </c>
      <c r="E24" s="26">
        <f>'Composição de Custos (SINAPI)'!H89</f>
        <v>5.1310119999999992</v>
      </c>
      <c r="F24" s="99">
        <f>E24*D24</f>
        <v>98625.36130589759</v>
      </c>
      <c r="G24" s="14">
        <f>F24/$G$162</f>
        <v>8.543616663694787E-3</v>
      </c>
    </row>
    <row r="25" spans="1:8" ht="24" x14ac:dyDescent="0.25">
      <c r="A25" s="25"/>
      <c r="B25" s="87" t="s">
        <v>1215</v>
      </c>
      <c r="C25" s="22" t="s">
        <v>64</v>
      </c>
      <c r="D25" s="144">
        <f>'Memorial de Calculo'!F52</f>
        <v>16397.424000000003</v>
      </c>
      <c r="E25" s="26">
        <f>'Composição de Custos (SINAPI)'!H101</f>
        <v>7.0932629999999994</v>
      </c>
      <c r="F25" s="99">
        <f>E25*D25</f>
        <v>116311.240954512</v>
      </c>
      <c r="G25" s="14">
        <f>F25/$G$162</f>
        <v>1.0075690909885327E-2</v>
      </c>
    </row>
    <row r="26" spans="1:8" ht="36" x14ac:dyDescent="0.25">
      <c r="A26" s="25"/>
      <c r="B26" s="87" t="s">
        <v>1183</v>
      </c>
      <c r="C26" s="22" t="s">
        <v>1</v>
      </c>
      <c r="D26" s="145">
        <f>'Memorial de Calculo'!F56</f>
        <v>910.96800000000007</v>
      </c>
      <c r="E26" s="89">
        <f>'Composição de Custos (SINAPI)'!H113</f>
        <v>408.93649400000004</v>
      </c>
      <c r="F26" s="99">
        <f>E26*D26</f>
        <v>372528.06006619206</v>
      </c>
      <c r="G26" s="14">
        <f>F26/$G$162</f>
        <v>3.2270978778002106E-2</v>
      </c>
    </row>
    <row r="27" spans="1:8" x14ac:dyDescent="0.25">
      <c r="A27" s="25"/>
      <c r="B27" s="90" t="s">
        <v>1216</v>
      </c>
      <c r="C27" s="20" t="s">
        <v>1</v>
      </c>
      <c r="D27" s="146">
        <f>'Memorial de Calculo'!F56</f>
        <v>910.96800000000007</v>
      </c>
      <c r="E27" s="21">
        <v>20</v>
      </c>
      <c r="F27" s="99">
        <f>E27*D27</f>
        <v>18219.36</v>
      </c>
      <c r="G27" s="14">
        <f>F27/$G$162</f>
        <v>1.5782880350122092E-3</v>
      </c>
      <c r="H27" s="3"/>
    </row>
    <row r="28" spans="1:8" x14ac:dyDescent="0.25">
      <c r="A28" s="9" t="s">
        <v>29</v>
      </c>
      <c r="B28" s="183" t="s">
        <v>62</v>
      </c>
      <c r="C28" s="184"/>
      <c r="D28" s="184"/>
      <c r="E28" s="184"/>
      <c r="F28" s="184"/>
      <c r="G28" s="185"/>
    </row>
    <row r="29" spans="1:8" ht="36" x14ac:dyDescent="0.25">
      <c r="A29" s="25"/>
      <c r="B29" s="87" t="s">
        <v>1219</v>
      </c>
      <c r="C29" s="20" t="s">
        <v>0</v>
      </c>
      <c r="D29" s="144">
        <f>'Memorial de Calculo'!I173</f>
        <v>21858.400000000001</v>
      </c>
      <c r="E29" s="26">
        <f>'Composição de Custos (SINAPI)'!H135</f>
        <v>14.783434199999997</v>
      </c>
      <c r="F29" s="99">
        <f t="shared" ref="F29:F34" si="0">D29*E29</f>
        <v>323142.21811727993</v>
      </c>
      <c r="G29" s="14">
        <f t="shared" ref="G29:G34" si="1">F29/$G$162</f>
        <v>2.7992832704431352E-2</v>
      </c>
    </row>
    <row r="30" spans="1:8" ht="36" x14ac:dyDescent="0.25">
      <c r="A30" s="25"/>
      <c r="B30" s="87" t="s">
        <v>1223</v>
      </c>
      <c r="C30" s="22" t="s">
        <v>0</v>
      </c>
      <c r="D30" s="144">
        <f>'Memorial de Calculo'!I127</f>
        <v>9486.7000000000007</v>
      </c>
      <c r="E30" s="26">
        <f>'Composição de Custos (SINAPI)'!H146</f>
        <v>13.646861599999999</v>
      </c>
      <c r="F30" s="99">
        <f t="shared" si="0"/>
        <v>129463.68194072001</v>
      </c>
      <c r="G30" s="14">
        <f t="shared" si="1"/>
        <v>1.121504708044984E-2</v>
      </c>
    </row>
    <row r="31" spans="1:8" ht="36" x14ac:dyDescent="0.25">
      <c r="A31" s="25"/>
      <c r="B31" s="87" t="s">
        <v>1227</v>
      </c>
      <c r="C31" s="22" t="s">
        <v>0</v>
      </c>
      <c r="D31" s="144">
        <f>'Memorial de Calculo'!F111</f>
        <v>7280</v>
      </c>
      <c r="E31" s="165">
        <f>'Composição de Custos (SINAPI)'!H157</f>
        <v>12.574776399999999</v>
      </c>
      <c r="F31" s="99">
        <f t="shared" si="0"/>
        <v>91544.372191999995</v>
      </c>
      <c r="G31" s="14">
        <f t="shared" si="1"/>
        <v>7.9302119999461011E-3</v>
      </c>
    </row>
    <row r="32" spans="1:8" ht="24" x14ac:dyDescent="0.25">
      <c r="A32" s="25"/>
      <c r="B32" s="87" t="s">
        <v>1228</v>
      </c>
      <c r="C32" s="22" t="s">
        <v>64</v>
      </c>
      <c r="D32" s="144">
        <f>'Memorial de Calculo'!C215</f>
        <v>27760.810000000005</v>
      </c>
      <c r="E32" s="26">
        <f>'Composição de Custos (SINAPI)'!H168</f>
        <v>7.1882679999999999</v>
      </c>
      <c r="F32" s="99">
        <f t="shared" si="0"/>
        <v>199552.14217708004</v>
      </c>
      <c r="G32" s="14">
        <f t="shared" si="1"/>
        <v>1.7286598341497209E-2</v>
      </c>
    </row>
    <row r="33" spans="1:8" ht="36" x14ac:dyDescent="0.25">
      <c r="A33" s="25"/>
      <c r="B33" s="87" t="s">
        <v>1183</v>
      </c>
      <c r="C33" s="22" t="s">
        <v>1</v>
      </c>
      <c r="D33" s="144">
        <f>'Memorial de Calculo'!C236</f>
        <v>1194.2550000000001</v>
      </c>
      <c r="E33" s="26">
        <f>'Composição de Custos (SINAPI)'!H180</f>
        <v>408.93649400000004</v>
      </c>
      <c r="F33" s="99">
        <f t="shared" si="0"/>
        <v>488374.45264197007</v>
      </c>
      <c r="G33" s="14">
        <f t="shared" si="1"/>
        <v>4.2306401279213875E-2</v>
      </c>
    </row>
    <row r="34" spans="1:8" x14ac:dyDescent="0.25">
      <c r="A34" s="25"/>
      <c r="B34" s="90" t="s">
        <v>1216</v>
      </c>
      <c r="C34" s="20" t="s">
        <v>1</v>
      </c>
      <c r="D34" s="146">
        <f>'Memorial de Calculo'!C236</f>
        <v>1194.2550000000001</v>
      </c>
      <c r="E34" s="21">
        <v>20</v>
      </c>
      <c r="F34" s="99">
        <f t="shared" si="0"/>
        <v>23885.100000000002</v>
      </c>
      <c r="G34" s="14">
        <f t="shared" si="1"/>
        <v>2.0690939497913273E-3</v>
      </c>
      <c r="H34" s="3"/>
    </row>
    <row r="35" spans="1:8" x14ac:dyDescent="0.25">
      <c r="A35" s="9" t="s">
        <v>60</v>
      </c>
      <c r="B35" s="183" t="s">
        <v>61</v>
      </c>
      <c r="C35" s="184"/>
      <c r="D35" s="184"/>
      <c r="E35" s="184"/>
      <c r="F35" s="184"/>
      <c r="G35" s="185"/>
    </row>
    <row r="36" spans="1:8" ht="36" x14ac:dyDescent="0.25">
      <c r="A36" s="25"/>
      <c r="B36" s="87" t="s">
        <v>1229</v>
      </c>
      <c r="C36" s="20" t="s">
        <v>0</v>
      </c>
      <c r="D36" s="134">
        <f>'Memorial de Calculo'!F70</f>
        <v>2073.6</v>
      </c>
      <c r="E36" s="26">
        <f>'Composição de Custos (SINAPI)'!H202</f>
        <v>10.957779799999997</v>
      </c>
      <c r="F36" s="29">
        <f>D36*E36</f>
        <v>22722.052193279993</v>
      </c>
      <c r="G36" s="14">
        <f>F36/$G$162</f>
        <v>1.9683426370397609E-3</v>
      </c>
    </row>
    <row r="37" spans="1:8" ht="36" x14ac:dyDescent="0.25">
      <c r="A37" s="25"/>
      <c r="B37" s="87" t="s">
        <v>1230</v>
      </c>
      <c r="C37" s="22" t="s">
        <v>64</v>
      </c>
      <c r="D37" s="134">
        <f>'Memorial de Calculo'!E78</f>
        <v>1545.1199999999997</v>
      </c>
      <c r="E37" s="26">
        <f>'Composição de Custos (SINAPI)'!H213</f>
        <v>7.2756420000000004</v>
      </c>
      <c r="F37" s="29">
        <f>D37*E37</f>
        <v>11241.739967039997</v>
      </c>
      <c r="G37" s="14">
        <f>F37/$G$162</f>
        <v>9.7383792200701747E-4</v>
      </c>
    </row>
    <row r="38" spans="1:8" ht="36" x14ac:dyDescent="0.25">
      <c r="A38" s="25"/>
      <c r="B38" s="87" t="s">
        <v>1183</v>
      </c>
      <c r="C38" s="22" t="s">
        <v>1</v>
      </c>
      <c r="D38" s="134">
        <f>'Memorial de Calculo'!F74</f>
        <v>104.4</v>
      </c>
      <c r="E38" s="26">
        <f>'Composição de Custos (SINAPI)'!H225</f>
        <v>408.93649400000004</v>
      </c>
      <c r="F38" s="29">
        <f>D38*E38</f>
        <v>42692.969973600004</v>
      </c>
      <c r="G38" s="14">
        <f>F38/$G$162</f>
        <v>3.6983628233081948E-3</v>
      </c>
    </row>
    <row r="39" spans="1:8" x14ac:dyDescent="0.25">
      <c r="A39" s="25"/>
      <c r="B39" s="90" t="s">
        <v>1216</v>
      </c>
      <c r="C39" s="20" t="s">
        <v>1</v>
      </c>
      <c r="D39" s="134">
        <f>'Memorial de Calculo'!F74</f>
        <v>104.4</v>
      </c>
      <c r="E39" s="21">
        <v>20</v>
      </c>
      <c r="F39" s="29">
        <f>D39*E39</f>
        <v>2088</v>
      </c>
      <c r="G39" s="14">
        <f>F39/$G$162</f>
        <v>1.8087712285752588E-4</v>
      </c>
    </row>
    <row r="40" spans="1:8" x14ac:dyDescent="0.25">
      <c r="A40" s="9" t="s">
        <v>65</v>
      </c>
      <c r="B40" s="183" t="s">
        <v>66</v>
      </c>
      <c r="C40" s="184"/>
      <c r="D40" s="184"/>
      <c r="E40" s="184"/>
      <c r="F40" s="184"/>
      <c r="G40" s="185"/>
      <c r="H40" s="3"/>
    </row>
    <row r="41" spans="1:8" x14ac:dyDescent="0.25">
      <c r="A41" s="18"/>
      <c r="B41" s="87" t="s">
        <v>1294</v>
      </c>
      <c r="C41" s="20" t="s">
        <v>0</v>
      </c>
      <c r="D41" s="134">
        <f>'Memorial de Calculo'!D260</f>
        <v>327.83999999999992</v>
      </c>
      <c r="E41" s="102">
        <v>153.88</v>
      </c>
      <c r="F41" s="29">
        <f>D41*E41</f>
        <v>50448.019199999988</v>
      </c>
      <c r="G41" s="14">
        <f>F41/$G$162</f>
        <v>4.3701592752668685E-3</v>
      </c>
      <c r="H41" s="3"/>
    </row>
    <row r="42" spans="1:8" ht="24" x14ac:dyDescent="0.25">
      <c r="A42" s="18"/>
      <c r="B42" s="87" t="s">
        <v>1295</v>
      </c>
      <c r="C42" s="22" t="s">
        <v>2</v>
      </c>
      <c r="D42" s="134">
        <f>4*10</f>
        <v>40</v>
      </c>
      <c r="E42" s="102">
        <v>52.56</v>
      </c>
      <c r="F42" s="29">
        <f>D42*E42</f>
        <v>2102.4</v>
      </c>
      <c r="G42" s="14">
        <f>F42/$G$162</f>
        <v>1.8212455129102605E-4</v>
      </c>
      <c r="H42" s="3"/>
    </row>
    <row r="43" spans="1:8" x14ac:dyDescent="0.25">
      <c r="A43" s="24">
        <v>5</v>
      </c>
      <c r="B43" s="180" t="s">
        <v>15</v>
      </c>
      <c r="C43" s="181"/>
      <c r="D43" s="181"/>
      <c r="E43" s="181"/>
      <c r="F43" s="181"/>
      <c r="G43" s="182"/>
    </row>
    <row r="44" spans="1:8" x14ac:dyDescent="0.25">
      <c r="A44" s="9" t="s">
        <v>30</v>
      </c>
      <c r="B44" s="174" t="s">
        <v>108</v>
      </c>
      <c r="C44" s="175"/>
      <c r="D44" s="175"/>
      <c r="E44" s="175"/>
      <c r="F44" s="175"/>
      <c r="G44" s="176"/>
    </row>
    <row r="45" spans="1:8" ht="24" x14ac:dyDescent="0.25">
      <c r="A45" s="25"/>
      <c r="B45" s="87" t="s">
        <v>1299</v>
      </c>
      <c r="C45" s="20" t="s">
        <v>0</v>
      </c>
      <c r="D45" s="134">
        <f>'Memorial de Calculo'!E86</f>
        <v>1787.6000000000001</v>
      </c>
      <c r="E45" s="26">
        <f>'Composição de Custos (SINAPI)'!H266</f>
        <v>27.395999999999997</v>
      </c>
      <c r="F45" s="29">
        <f>D45*E45</f>
        <v>48973.089599999999</v>
      </c>
      <c r="G45" s="14">
        <f>F45/$G$162</f>
        <v>4.2423905863466583E-3</v>
      </c>
    </row>
    <row r="46" spans="1:8" x14ac:dyDescent="0.25">
      <c r="A46" s="9" t="s">
        <v>31</v>
      </c>
      <c r="B46" s="177" t="s">
        <v>67</v>
      </c>
      <c r="C46" s="171"/>
      <c r="D46" s="171"/>
      <c r="E46" s="171"/>
      <c r="F46" s="171"/>
      <c r="G46" s="172"/>
    </row>
    <row r="47" spans="1:8" ht="48" x14ac:dyDescent="0.25">
      <c r="A47" s="25"/>
      <c r="B47" s="87" t="s">
        <v>1313</v>
      </c>
      <c r="C47" s="20" t="s">
        <v>0</v>
      </c>
      <c r="D47" s="134">
        <f>'Memorial de Calculo'!E86</f>
        <v>1787.6000000000001</v>
      </c>
      <c r="E47" s="165">
        <f>'Composição de Custos (SINAPI)'!H273</f>
        <v>26.016958000000002</v>
      </c>
      <c r="F47" s="99">
        <f>D47*E47</f>
        <v>46507.914120800007</v>
      </c>
      <c r="G47" s="14">
        <f>F47/$G$162</f>
        <v>4.0288398928521102E-3</v>
      </c>
    </row>
    <row r="48" spans="1:8" x14ac:dyDescent="0.25">
      <c r="A48" s="9" t="s">
        <v>32</v>
      </c>
      <c r="B48" s="177" t="s">
        <v>4</v>
      </c>
      <c r="C48" s="171"/>
      <c r="D48" s="171"/>
      <c r="E48" s="171"/>
      <c r="F48" s="171"/>
      <c r="G48" s="172"/>
    </row>
    <row r="49" spans="1:7" ht="24" x14ac:dyDescent="0.25">
      <c r="A49" s="25"/>
      <c r="B49" s="87" t="s">
        <v>1334</v>
      </c>
      <c r="C49" s="27" t="s">
        <v>3</v>
      </c>
      <c r="D49" s="134">
        <f>'Memorial de Calculo'!F92</f>
        <v>326.39999999999998</v>
      </c>
      <c r="E49" s="166">
        <f>'Composição de Custos (SINAPI)'!H286</f>
        <v>32.647948</v>
      </c>
      <c r="F49" s="29">
        <f>D49*E49</f>
        <v>10656.290227199999</v>
      </c>
      <c r="G49" s="14">
        <f>F49/$G$162</f>
        <v>9.231221822943997E-4</v>
      </c>
    </row>
    <row r="50" spans="1:7" ht="36" x14ac:dyDescent="0.25">
      <c r="A50" s="25"/>
      <c r="B50" s="87" t="s">
        <v>1335</v>
      </c>
      <c r="C50" s="20" t="s">
        <v>3</v>
      </c>
      <c r="D50" s="134">
        <f>'Memorial de Calculo'!F98</f>
        <v>308</v>
      </c>
      <c r="E50" s="26">
        <f>'Composição de Custos (SINAPI)'!H302</f>
        <v>54.158591999999999</v>
      </c>
      <c r="F50" s="29">
        <f>D50*E50</f>
        <v>16680.846335999999</v>
      </c>
      <c r="G50" s="14">
        <f>F50/$G$162</f>
        <v>1.4450112509981714E-3</v>
      </c>
    </row>
    <row r="51" spans="1:7" x14ac:dyDescent="0.25">
      <c r="A51" s="24">
        <v>6</v>
      </c>
      <c r="B51" s="180" t="s">
        <v>68</v>
      </c>
      <c r="C51" s="181"/>
      <c r="D51" s="181"/>
      <c r="E51" s="181"/>
      <c r="F51" s="181"/>
      <c r="G51" s="182"/>
    </row>
    <row r="52" spans="1:7" x14ac:dyDescent="0.25">
      <c r="A52" s="9" t="s">
        <v>33</v>
      </c>
      <c r="B52" s="177" t="s">
        <v>69</v>
      </c>
      <c r="C52" s="171"/>
      <c r="D52" s="171"/>
      <c r="E52" s="171"/>
      <c r="F52" s="171"/>
      <c r="G52" s="172"/>
    </row>
    <row r="53" spans="1:7" ht="24" x14ac:dyDescent="0.25">
      <c r="A53" s="36"/>
      <c r="B53" s="86" t="s">
        <v>1262</v>
      </c>
      <c r="C53" s="11" t="s">
        <v>0</v>
      </c>
      <c r="D53" s="134">
        <f>'Memorial de Calculo'!E103</f>
        <v>2914.3</v>
      </c>
      <c r="E53" s="28">
        <f>'Composição de Custos (SINAPI)'!H318</f>
        <v>26.657744000000001</v>
      </c>
      <c r="F53" s="29">
        <f>E53*D53</f>
        <v>77688.663339200008</v>
      </c>
      <c r="G53" s="14">
        <f>F53/$G$162</f>
        <v>6.7299338618014588E-3</v>
      </c>
    </row>
    <row r="54" spans="1:7" ht="24" x14ac:dyDescent="0.25">
      <c r="A54" s="36"/>
      <c r="B54" s="91" t="s">
        <v>1296</v>
      </c>
      <c r="C54" s="92" t="s">
        <v>117</v>
      </c>
      <c r="D54" s="134">
        <f>'Memorial de Calculo'!E103</f>
        <v>2914.3</v>
      </c>
      <c r="E54" s="26">
        <f>'Composição de Custos (SINAPI)'!H328</f>
        <v>4.8903999999999996</v>
      </c>
      <c r="F54" s="29">
        <f>E54*D54</f>
        <v>14252.092720000001</v>
      </c>
      <c r="G54" s="14">
        <f>F54/$G$162</f>
        <v>1.2346156733200624E-3</v>
      </c>
    </row>
    <row r="55" spans="1:7" x14ac:dyDescent="0.25">
      <c r="A55" s="9" t="s">
        <v>33</v>
      </c>
      <c r="B55" s="177" t="s">
        <v>70</v>
      </c>
      <c r="C55" s="171"/>
      <c r="D55" s="171"/>
      <c r="E55" s="171"/>
      <c r="F55" s="171"/>
      <c r="G55" s="172"/>
    </row>
    <row r="56" spans="1:7" ht="39.75" customHeight="1" x14ac:dyDescent="0.25">
      <c r="A56" s="36"/>
      <c r="B56" s="91" t="s">
        <v>1340</v>
      </c>
      <c r="C56" s="11" t="s">
        <v>0</v>
      </c>
      <c r="D56" s="134">
        <f>(2.56+(2.6*(0.8+0.8+1.05))+(0.3*(0.2+1.25+0.5+0.05+1.25)))*4*5*10</f>
        <v>2085</v>
      </c>
      <c r="E56" s="26">
        <f>'Composição de Custos (SINAPI)'!H337</f>
        <v>27.811</v>
      </c>
      <c r="F56" s="29">
        <f>D56*E56</f>
        <v>57985.934999999998</v>
      </c>
      <c r="G56" s="14">
        <f>F56/$G$162</f>
        <v>5.0231461154231364E-3</v>
      </c>
    </row>
    <row r="57" spans="1:7" x14ac:dyDescent="0.25">
      <c r="A57" s="24">
        <v>7</v>
      </c>
      <c r="B57" s="180" t="s">
        <v>18</v>
      </c>
      <c r="C57" s="181"/>
      <c r="D57" s="181"/>
      <c r="E57" s="181"/>
      <c r="F57" s="181"/>
      <c r="G57" s="182"/>
    </row>
    <row r="58" spans="1:7" x14ac:dyDescent="0.25">
      <c r="A58" s="9" t="s">
        <v>34</v>
      </c>
      <c r="B58" s="177" t="s">
        <v>5</v>
      </c>
      <c r="C58" s="171"/>
      <c r="D58" s="171"/>
      <c r="E58" s="171"/>
      <c r="F58" s="171"/>
      <c r="G58" s="172"/>
    </row>
    <row r="59" spans="1:7" ht="28.5" customHeight="1" x14ac:dyDescent="0.25">
      <c r="A59" s="25"/>
      <c r="B59" s="87" t="s">
        <v>1342</v>
      </c>
      <c r="C59" s="20" t="s">
        <v>0</v>
      </c>
      <c r="D59" s="29">
        <f>185.12*10</f>
        <v>1851.2</v>
      </c>
      <c r="E59" s="26">
        <f>'Composição de Custos (SINAPI)'!H347</f>
        <v>38.855860000000007</v>
      </c>
      <c r="F59" s="29">
        <f>E59*D59</f>
        <v>71929.968032000019</v>
      </c>
      <c r="G59" s="14">
        <f>F59/$G$162</f>
        <v>6.2310755099913677E-3</v>
      </c>
    </row>
    <row r="60" spans="1:7" ht="24" x14ac:dyDescent="0.25">
      <c r="A60" s="25"/>
      <c r="B60" s="87" t="s">
        <v>1350</v>
      </c>
      <c r="C60" s="20" t="s">
        <v>0</v>
      </c>
      <c r="D60" s="29">
        <f>((28.18*4)+12.61)*5*10</f>
        <v>6266.5</v>
      </c>
      <c r="E60" s="26">
        <f>'Composição de Custos (SINAPI)'!H359</f>
        <v>77.812999000000005</v>
      </c>
      <c r="F60" s="29">
        <f>E60*D60</f>
        <v>487615.15823350003</v>
      </c>
      <c r="G60" s="14">
        <f>F60/$G$162</f>
        <v>4.2240625901816431E-2</v>
      </c>
    </row>
    <row r="61" spans="1:7" ht="27" customHeight="1" x14ac:dyDescent="0.25">
      <c r="A61" s="25"/>
      <c r="B61" s="87" t="s">
        <v>1351</v>
      </c>
      <c r="C61" s="20" t="s">
        <v>0</v>
      </c>
      <c r="D61" s="29">
        <f>8.41*4*5*10</f>
        <v>1682</v>
      </c>
      <c r="E61" s="26">
        <f>'Composição de Custos (SINAPI)'!H371</f>
        <v>91.564874000000003</v>
      </c>
      <c r="F61" s="29">
        <f>E61*D61</f>
        <v>154012.11806800001</v>
      </c>
      <c r="G61" s="14">
        <f>F61/$G$162</f>
        <v>1.3341603832056235E-2</v>
      </c>
    </row>
    <row r="62" spans="1:7" x14ac:dyDescent="0.25">
      <c r="A62" s="9" t="s">
        <v>72</v>
      </c>
      <c r="B62" s="170" t="s">
        <v>110</v>
      </c>
      <c r="C62" s="171"/>
      <c r="D62" s="171"/>
      <c r="E62" s="171"/>
      <c r="F62" s="171"/>
      <c r="G62" s="172"/>
    </row>
    <row r="63" spans="1:7" ht="36" x14ac:dyDescent="0.25">
      <c r="A63" s="25"/>
      <c r="B63" s="87" t="s">
        <v>1356</v>
      </c>
      <c r="C63" s="20" t="s">
        <v>0</v>
      </c>
      <c r="D63" s="144">
        <f>((36.59*4)+24)*5*10</f>
        <v>8518</v>
      </c>
      <c r="E63" s="89">
        <f>'Composição de Custos (SINAPI)'!H383</f>
        <v>94.179599999999994</v>
      </c>
      <c r="F63" s="29">
        <f>E63*D63</f>
        <v>802221.83279999997</v>
      </c>
      <c r="G63" s="14">
        <f>F63/$G$162</f>
        <v>6.9494050292315701E-2</v>
      </c>
    </row>
    <row r="64" spans="1:7" x14ac:dyDescent="0.25">
      <c r="A64" s="9" t="s">
        <v>73</v>
      </c>
      <c r="B64" s="170" t="s">
        <v>111</v>
      </c>
      <c r="C64" s="171"/>
      <c r="D64" s="171"/>
      <c r="E64" s="171"/>
      <c r="F64" s="171"/>
      <c r="G64" s="172"/>
    </row>
    <row r="65" spans="1:7" ht="35.25" customHeight="1" x14ac:dyDescent="0.25">
      <c r="A65" s="25"/>
      <c r="B65" s="87" t="s">
        <v>1440</v>
      </c>
      <c r="C65" s="20" t="s">
        <v>3</v>
      </c>
      <c r="D65" s="29">
        <f>((((4.2+2.75+2.65+1.05+1.1+1.05+0.45+1.95+3.1+3.1+2.55+2.55+3.1+3.1+2.4+2.4-0.7-0.7-0.6-0.8)*4)+(2.55+6+2.6-3.2))*5*10)+(1.2+2.05-1.2-0.8)*10</f>
        <v>7349.9999999999991</v>
      </c>
      <c r="E65" s="26">
        <f>'Composição de Custos (SINAPI)'!H395</f>
        <v>34.831747999999997</v>
      </c>
      <c r="F65" s="29">
        <f>E65*D65</f>
        <v>256013.34779999996</v>
      </c>
      <c r="G65" s="14">
        <f>F65/$G$162</f>
        <v>2.2177661763978493E-2</v>
      </c>
    </row>
    <row r="66" spans="1:7" ht="29.25" customHeight="1" x14ac:dyDescent="0.25">
      <c r="A66" s="25"/>
      <c r="B66" s="87" t="s">
        <v>1234</v>
      </c>
      <c r="C66" s="22" t="s">
        <v>3</v>
      </c>
      <c r="D66" s="134">
        <f>((0.7+0.7+0.6+0.8)*4*5*10)+((1.2+0.8)*10)</f>
        <v>580</v>
      </c>
      <c r="E66" s="26">
        <f>'Composição de Custos (SINAPI)'!H407</f>
        <v>53.221938000000002</v>
      </c>
      <c r="F66" s="29">
        <f>E66*D66</f>
        <v>30868.724040000001</v>
      </c>
      <c r="G66" s="14">
        <f>F66/$G$162</f>
        <v>2.6740641717615623E-3</v>
      </c>
    </row>
    <row r="67" spans="1:7" x14ac:dyDescent="0.25">
      <c r="A67" s="25"/>
      <c r="B67" s="90" t="s">
        <v>1441</v>
      </c>
      <c r="C67" s="20" t="s">
        <v>3</v>
      </c>
      <c r="D67" s="134">
        <f>1.05*4*5*10</f>
        <v>210</v>
      </c>
      <c r="E67" s="26">
        <f>'Composição de Custos (SINAPI)'!H418</f>
        <v>13.807319999999999</v>
      </c>
      <c r="F67" s="29">
        <f>E67*D67</f>
        <v>2899.5371999999998</v>
      </c>
      <c r="G67" s="14">
        <f>F67/$G$162</f>
        <v>2.5117813522718705E-4</v>
      </c>
    </row>
    <row r="68" spans="1:7" x14ac:dyDescent="0.25">
      <c r="A68" s="9" t="s">
        <v>74</v>
      </c>
      <c r="B68" s="177" t="s">
        <v>103</v>
      </c>
      <c r="C68" s="171"/>
      <c r="D68" s="171"/>
      <c r="E68" s="171"/>
      <c r="F68" s="171"/>
      <c r="G68" s="172"/>
    </row>
    <row r="69" spans="1:7" ht="25.5" customHeight="1" x14ac:dyDescent="0.25">
      <c r="A69" s="25"/>
      <c r="B69" s="87" t="s">
        <v>1241</v>
      </c>
      <c r="C69" s="22" t="s">
        <v>3</v>
      </c>
      <c r="D69" s="134">
        <f>((10*5*4*5.4)+(1.6*4*10)+(0.8*10)+(1.2*4*5*10))</f>
        <v>1392</v>
      </c>
      <c r="E69" s="26">
        <f>'Composição de Custos (SINAPI)'!H429</f>
        <v>61.955289999999998</v>
      </c>
      <c r="F69" s="29">
        <f>E69*D69</f>
        <v>86241.763680000004</v>
      </c>
      <c r="G69" s="14">
        <f>F69/$G$162</f>
        <v>7.4708630673357632E-3</v>
      </c>
    </row>
    <row r="70" spans="1:7" x14ac:dyDescent="0.25">
      <c r="A70" s="24">
        <v>8</v>
      </c>
      <c r="B70" s="180" t="s">
        <v>75</v>
      </c>
      <c r="C70" s="181"/>
      <c r="D70" s="181"/>
      <c r="E70" s="181"/>
      <c r="F70" s="181"/>
      <c r="G70" s="182"/>
    </row>
    <row r="71" spans="1:7" x14ac:dyDescent="0.25">
      <c r="A71" s="9" t="s">
        <v>35</v>
      </c>
      <c r="B71" s="170" t="s">
        <v>1748</v>
      </c>
      <c r="C71" s="171"/>
      <c r="D71" s="171"/>
      <c r="E71" s="171"/>
      <c r="F71" s="171"/>
      <c r="G71" s="172"/>
    </row>
    <row r="72" spans="1:7" ht="24.75" customHeight="1" x14ac:dyDescent="0.25">
      <c r="A72" s="25"/>
      <c r="B72" s="87" t="s">
        <v>1250</v>
      </c>
      <c r="C72" s="20" t="s">
        <v>0</v>
      </c>
      <c r="D72" s="134">
        <f>'Memorial de Calculo'!H291</f>
        <v>18486.599999999999</v>
      </c>
      <c r="E72" s="26">
        <f>'Composição de Custos (SINAPI)'!H451</f>
        <v>13.887376</v>
      </c>
      <c r="F72" s="99">
        <f>E72*D72</f>
        <v>256730.36516159997</v>
      </c>
      <c r="G72" s="14">
        <f t="shared" ref="G72" si="2">F72/$G$162</f>
        <v>2.2239774808712739E-2</v>
      </c>
    </row>
    <row r="73" spans="1:7" ht="17.25" customHeight="1" x14ac:dyDescent="0.25">
      <c r="A73" s="9" t="s">
        <v>42</v>
      </c>
      <c r="B73" s="177" t="s">
        <v>76</v>
      </c>
      <c r="C73" s="171"/>
      <c r="D73" s="171"/>
      <c r="E73" s="171"/>
      <c r="F73" s="171"/>
      <c r="G73" s="172"/>
    </row>
    <row r="74" spans="1:7" ht="33.75" customHeight="1" x14ac:dyDescent="0.25">
      <c r="A74" s="25"/>
      <c r="B74" s="87" t="s">
        <v>1636</v>
      </c>
      <c r="C74" s="20" t="s">
        <v>0</v>
      </c>
      <c r="D74" s="134">
        <f>'Memorial de Calculo'!H296</f>
        <v>2446.6</v>
      </c>
      <c r="E74" s="26">
        <f>'Composição de Custos (SINAPI)'!H451</f>
        <v>13.887376</v>
      </c>
      <c r="F74" s="99">
        <f>E74*D74</f>
        <v>33976.854121600001</v>
      </c>
      <c r="G74" s="14">
        <f t="shared" ref="G74:G75" si="3">F74/$G$162</f>
        <v>2.9433120772341366E-3</v>
      </c>
    </row>
    <row r="75" spans="1:7" ht="26.25" customHeight="1" x14ac:dyDescent="0.25">
      <c r="A75" s="25"/>
      <c r="B75" s="87" t="s">
        <v>1374</v>
      </c>
      <c r="C75" s="20" t="s">
        <v>0</v>
      </c>
      <c r="D75" s="134">
        <f>'Memorial de Calculo'!H304</f>
        <v>16040</v>
      </c>
      <c r="E75" s="26">
        <f>'Composição de Custos (SINAPI)'!H461</f>
        <v>8.0724039999999988</v>
      </c>
      <c r="F75" s="99">
        <f>E75*D75</f>
        <v>129481.36015999998</v>
      </c>
      <c r="G75" s="14">
        <f t="shared" si="3"/>
        <v>1.1216578491101472E-2</v>
      </c>
    </row>
    <row r="76" spans="1:7" x14ac:dyDescent="0.25">
      <c r="A76" s="9" t="s">
        <v>43</v>
      </c>
      <c r="B76" s="183" t="s">
        <v>77</v>
      </c>
      <c r="C76" s="184"/>
      <c r="D76" s="184"/>
      <c r="E76" s="184"/>
      <c r="F76" s="184"/>
      <c r="G76" s="185"/>
    </row>
    <row r="77" spans="1:7" ht="41.25" customHeight="1" x14ac:dyDescent="0.25">
      <c r="A77" s="25"/>
      <c r="B77" s="87" t="s">
        <v>1380</v>
      </c>
      <c r="C77" s="20" t="s">
        <v>0</v>
      </c>
      <c r="D77" s="134">
        <f>'Memorial de Calculo'!H311</f>
        <v>6753.2000000000007</v>
      </c>
      <c r="E77" s="165">
        <f>'Composição de Custos (SINAPI)'!H471</f>
        <v>33.753399999999999</v>
      </c>
      <c r="F77" s="99">
        <f>E77*D77</f>
        <v>227943.46088000003</v>
      </c>
      <c r="G77" s="14">
        <f t="shared" ref="G77" si="4">F77/$G$162</f>
        <v>1.9746052384176919E-2</v>
      </c>
    </row>
    <row r="78" spans="1:7" x14ac:dyDescent="0.25">
      <c r="A78" s="24">
        <v>9</v>
      </c>
      <c r="B78" s="180" t="s">
        <v>16</v>
      </c>
      <c r="C78" s="181"/>
      <c r="D78" s="181"/>
      <c r="E78" s="181"/>
      <c r="F78" s="181"/>
      <c r="G78" s="182"/>
    </row>
    <row r="79" spans="1:7" x14ac:dyDescent="0.25">
      <c r="A79" s="9" t="s">
        <v>36</v>
      </c>
      <c r="B79" s="183" t="s">
        <v>78</v>
      </c>
      <c r="C79" s="184"/>
      <c r="D79" s="184"/>
      <c r="E79" s="184"/>
      <c r="F79" s="184"/>
      <c r="G79" s="185"/>
    </row>
    <row r="80" spans="1:7" x14ac:dyDescent="0.25">
      <c r="A80" s="25"/>
      <c r="B80" s="87" t="s">
        <v>1379</v>
      </c>
      <c r="C80" s="20" t="s">
        <v>0</v>
      </c>
      <c r="D80" s="29">
        <f>(36.59-2.56)*4*5*10</f>
        <v>6806</v>
      </c>
      <c r="E80" s="26">
        <f>'Composição de Custos (SINAPI)'!H483</f>
        <v>19.393259999999998</v>
      </c>
      <c r="F80" s="29">
        <f>E80*D80</f>
        <v>131990.52755999999</v>
      </c>
      <c r="G80" s="14">
        <f t="shared" ref="G80" si="5">F80/$G$162</f>
        <v>1.1433940071599508E-2</v>
      </c>
    </row>
    <row r="81" spans="1:7" x14ac:dyDescent="0.25">
      <c r="A81" s="9" t="s">
        <v>80</v>
      </c>
      <c r="B81" s="170" t="s">
        <v>113</v>
      </c>
      <c r="C81" s="171"/>
      <c r="D81" s="171"/>
      <c r="E81" s="171"/>
      <c r="F81" s="171"/>
      <c r="G81" s="172"/>
    </row>
    <row r="82" spans="1:7" ht="24" x14ac:dyDescent="0.25">
      <c r="A82" s="25"/>
      <c r="B82" s="87" t="s">
        <v>1630</v>
      </c>
      <c r="C82" s="20" t="s">
        <v>0</v>
      </c>
      <c r="D82" s="29">
        <f>'Memorial de Calculo'!C281</f>
        <v>8518</v>
      </c>
      <c r="E82" s="26">
        <f>'Composição de Custos (SINAPI)'!H493</f>
        <v>8.9869760000000003</v>
      </c>
      <c r="F82" s="29">
        <f>E82*D82</f>
        <v>76551.061568000005</v>
      </c>
      <c r="G82" s="14">
        <f t="shared" ref="G82" si="6">F82/$G$162</f>
        <v>6.6313868621212472E-3</v>
      </c>
    </row>
    <row r="83" spans="1:7" x14ac:dyDescent="0.25">
      <c r="A83" s="9" t="s">
        <v>81</v>
      </c>
      <c r="B83" s="177" t="s">
        <v>79</v>
      </c>
      <c r="C83" s="171"/>
      <c r="D83" s="171"/>
      <c r="E83" s="171"/>
      <c r="F83" s="171"/>
      <c r="G83" s="172"/>
    </row>
    <row r="84" spans="1:7" ht="25.5" customHeight="1" x14ac:dyDescent="0.25">
      <c r="A84" s="25"/>
      <c r="B84" s="87" t="s">
        <v>1272</v>
      </c>
      <c r="C84" s="20" t="s">
        <v>0</v>
      </c>
      <c r="D84" s="29">
        <f>((2.56*4)+12.61)*5*10</f>
        <v>1142.5</v>
      </c>
      <c r="E84" s="26">
        <f>'Composição de Custos (SINAPI)'!H503</f>
        <v>30.185755399999998</v>
      </c>
      <c r="F84" s="29">
        <f>E84*D84</f>
        <v>34487.225544499997</v>
      </c>
      <c r="G84" s="14">
        <f t="shared" ref="G84" si="7">F84/$G$162</f>
        <v>2.9875240094960395E-3</v>
      </c>
    </row>
    <row r="85" spans="1:7" x14ac:dyDescent="0.25">
      <c r="A85" s="24">
        <v>10</v>
      </c>
      <c r="B85" s="180" t="s">
        <v>17</v>
      </c>
      <c r="C85" s="181"/>
      <c r="D85" s="181"/>
      <c r="E85" s="181"/>
      <c r="F85" s="181"/>
      <c r="G85" s="182"/>
    </row>
    <row r="86" spans="1:7" x14ac:dyDescent="0.25">
      <c r="A86" s="9" t="s">
        <v>37</v>
      </c>
      <c r="B86" s="177" t="s">
        <v>82</v>
      </c>
      <c r="C86" s="171"/>
      <c r="D86" s="171"/>
      <c r="E86" s="171"/>
      <c r="F86" s="171"/>
      <c r="G86" s="172"/>
    </row>
    <row r="87" spans="1:7" ht="25.5" customHeight="1" x14ac:dyDescent="0.25">
      <c r="A87" s="25"/>
      <c r="B87" s="87" t="s">
        <v>1393</v>
      </c>
      <c r="C87" s="20" t="s">
        <v>0</v>
      </c>
      <c r="D87" s="29">
        <f>'Memorial de Calculo'!C275</f>
        <v>10690.95</v>
      </c>
      <c r="E87" s="26">
        <f>'Composição de Custos (SINAPI)'!H517</f>
        <v>14.775699999999999</v>
      </c>
      <c r="F87" s="29">
        <f>E87*D87</f>
        <v>157966.26991499998</v>
      </c>
      <c r="G87" s="14">
        <f t="shared" ref="G87" si="8">F87/$G$162</f>
        <v>1.3684140043467694E-2</v>
      </c>
    </row>
    <row r="88" spans="1:7" x14ac:dyDescent="0.25">
      <c r="A88" s="9" t="s">
        <v>44</v>
      </c>
      <c r="B88" s="177" t="s">
        <v>83</v>
      </c>
      <c r="C88" s="171"/>
      <c r="D88" s="171"/>
      <c r="E88" s="171"/>
      <c r="F88" s="171"/>
      <c r="G88" s="172"/>
    </row>
    <row r="89" spans="1:7" ht="17.25" customHeight="1" x14ac:dyDescent="0.25">
      <c r="A89" s="25"/>
      <c r="B89" s="87" t="s">
        <v>1392</v>
      </c>
      <c r="C89" s="20" t="s">
        <v>0</v>
      </c>
      <c r="D89" s="29">
        <f>'Memorial de Calculo'!C275</f>
        <v>10690.95</v>
      </c>
      <c r="E89" s="26">
        <f>'Composição de Custos (SINAPI)'!H528</f>
        <v>12.853199999999999</v>
      </c>
      <c r="F89" s="29">
        <f>E89*D89</f>
        <v>137412.91854000001</v>
      </c>
      <c r="G89" s="14">
        <f t="shared" ref="G89" si="9">F89/$G$162</f>
        <v>1.1903665397016656E-2</v>
      </c>
    </row>
    <row r="90" spans="1:7" x14ac:dyDescent="0.25">
      <c r="A90" s="24">
        <v>11</v>
      </c>
      <c r="B90" s="180" t="s">
        <v>23</v>
      </c>
      <c r="C90" s="181"/>
      <c r="D90" s="181"/>
      <c r="E90" s="181"/>
      <c r="F90" s="181"/>
      <c r="G90" s="182"/>
    </row>
    <row r="91" spans="1:7" x14ac:dyDescent="0.25">
      <c r="A91" s="25" t="s">
        <v>38</v>
      </c>
      <c r="B91" s="177" t="s">
        <v>6</v>
      </c>
      <c r="C91" s="171"/>
      <c r="D91" s="171"/>
      <c r="E91" s="171"/>
      <c r="F91" s="171"/>
      <c r="G91" s="172"/>
    </row>
    <row r="92" spans="1:7" ht="27.75" customHeight="1" x14ac:dyDescent="0.25">
      <c r="A92" s="25"/>
      <c r="B92" s="87" t="s">
        <v>1400</v>
      </c>
      <c r="C92" s="20" t="s">
        <v>2</v>
      </c>
      <c r="D92" s="134">
        <f>'Memorial de Calculo'!F248</f>
        <v>200</v>
      </c>
      <c r="E92" s="26">
        <f>'Composição de Custos (SINAPI)'!H538</f>
        <v>212.3526588</v>
      </c>
      <c r="F92" s="29">
        <f>E92*D92</f>
        <v>42470.531759999998</v>
      </c>
      <c r="G92" s="14">
        <f t="shared" ref="G92:G94" si="10">F92/$G$162</f>
        <v>3.6790936738400259E-3</v>
      </c>
    </row>
    <row r="93" spans="1:7" ht="34.5" customHeight="1" x14ac:dyDescent="0.25">
      <c r="A93" s="25"/>
      <c r="B93" s="87" t="s">
        <v>1401</v>
      </c>
      <c r="C93" s="20" t="s">
        <v>2</v>
      </c>
      <c r="D93" s="134">
        <f>'Memorial de Calculo'!F249</f>
        <v>400</v>
      </c>
      <c r="E93" s="26">
        <f>'Composição de Custos (SINAPI)'!H550</f>
        <v>298.43838600000004</v>
      </c>
      <c r="F93" s="29">
        <f>E93*D93</f>
        <v>119375.35440000001</v>
      </c>
      <c r="G93" s="14">
        <f t="shared" si="10"/>
        <v>1.0341125787341712E-2</v>
      </c>
    </row>
    <row r="94" spans="1:7" ht="36.75" customHeight="1" x14ac:dyDescent="0.25">
      <c r="A94" s="25"/>
      <c r="B94" s="87" t="s">
        <v>1402</v>
      </c>
      <c r="C94" s="20" t="s">
        <v>2</v>
      </c>
      <c r="D94" s="134">
        <f>'Memorial de Calculo'!F250</f>
        <v>200</v>
      </c>
      <c r="E94" s="26">
        <f>'Composição de Custos (SINAPI)'!H562</f>
        <v>319.18944799999997</v>
      </c>
      <c r="F94" s="29">
        <f>E94*D94</f>
        <v>63837.889599999995</v>
      </c>
      <c r="G94" s="14">
        <f t="shared" si="10"/>
        <v>5.5300832376170362E-3</v>
      </c>
    </row>
    <row r="95" spans="1:7" x14ac:dyDescent="0.25">
      <c r="A95" s="25"/>
      <c r="B95" s="177" t="s">
        <v>85</v>
      </c>
      <c r="C95" s="171"/>
      <c r="D95" s="171"/>
      <c r="E95" s="171"/>
      <c r="F95" s="171"/>
      <c r="G95" s="172"/>
    </row>
    <row r="96" spans="1:7" ht="36.75" customHeight="1" x14ac:dyDescent="0.25">
      <c r="A96" s="25"/>
      <c r="B96" s="87" t="s">
        <v>1417</v>
      </c>
      <c r="C96" s="20" t="s">
        <v>0</v>
      </c>
      <c r="D96" s="134">
        <f>'Memorial de Calculo'!G268</f>
        <v>2688</v>
      </c>
      <c r="E96" s="28">
        <f>'Composição de Custos (SINAPI)'!H574</f>
        <v>14.860950000000001</v>
      </c>
      <c r="F96" s="29">
        <f>E96*D96</f>
        <v>39946.2336</v>
      </c>
      <c r="G96" s="14">
        <f t="shared" ref="G96" si="11">F96/$G$162</f>
        <v>3.4604213613805691E-3</v>
      </c>
    </row>
    <row r="97" spans="1:7" x14ac:dyDescent="0.25">
      <c r="A97" s="24">
        <v>12</v>
      </c>
      <c r="B97" s="180" t="s">
        <v>71</v>
      </c>
      <c r="C97" s="181"/>
      <c r="D97" s="181"/>
      <c r="E97" s="181"/>
      <c r="F97" s="181"/>
      <c r="G97" s="182"/>
    </row>
    <row r="98" spans="1:7" x14ac:dyDescent="0.25">
      <c r="A98" s="9" t="s">
        <v>39</v>
      </c>
      <c r="B98" s="177" t="s">
        <v>7</v>
      </c>
      <c r="C98" s="171"/>
      <c r="D98" s="171"/>
      <c r="E98" s="171"/>
      <c r="F98" s="171"/>
      <c r="G98" s="172"/>
    </row>
    <row r="99" spans="1:7" ht="24" x14ac:dyDescent="0.25">
      <c r="A99" s="25"/>
      <c r="B99" s="87" t="s">
        <v>1424</v>
      </c>
      <c r="C99" s="22" t="s">
        <v>2</v>
      </c>
      <c r="D99" s="134">
        <f>'Memorial de Calculo'!F243</f>
        <v>290</v>
      </c>
      <c r="E99" s="26">
        <f>'Composição de Custos (SINAPI)'!H587</f>
        <v>328.01710000000003</v>
      </c>
      <c r="F99" s="29">
        <f>E99*D99</f>
        <v>95124.959000000003</v>
      </c>
      <c r="G99" s="14">
        <f t="shared" ref="G99:G108" si="12">F99/$G$162</f>
        <v>8.2403874022318538E-3</v>
      </c>
    </row>
    <row r="100" spans="1:7" ht="24" x14ac:dyDescent="0.25">
      <c r="A100" s="25"/>
      <c r="B100" s="35" t="s">
        <v>86</v>
      </c>
      <c r="C100" s="22" t="s">
        <v>2</v>
      </c>
      <c r="D100" s="134">
        <f>'Memorial de Calculo'!F244</f>
        <v>200</v>
      </c>
      <c r="E100" s="165">
        <f>'Composição de Custos (SINAPI)'!H599</f>
        <v>577.12951999999996</v>
      </c>
      <c r="F100" s="29">
        <f>E100*D100</f>
        <v>115425.90399999999</v>
      </c>
      <c r="G100" s="14">
        <f t="shared" si="12"/>
        <v>9.9989968480598598E-3</v>
      </c>
    </row>
    <row r="101" spans="1:7" ht="36" x14ac:dyDescent="0.25">
      <c r="A101" s="25"/>
      <c r="B101" s="87" t="s">
        <v>1439</v>
      </c>
      <c r="C101" s="22" t="s">
        <v>2</v>
      </c>
      <c r="D101" s="134">
        <f>'Memorial de Calculo'!F245</f>
        <v>400</v>
      </c>
      <c r="E101" s="26">
        <f>'Composição de Custos (SINAPI)'!H611</f>
        <v>149.78132499999998</v>
      </c>
      <c r="F101" s="29">
        <f>E101*D101</f>
        <v>59912.529999999992</v>
      </c>
      <c r="G101" s="14">
        <f t="shared" si="12"/>
        <v>5.1900412114536413E-3</v>
      </c>
    </row>
    <row r="102" spans="1:7" ht="24" x14ac:dyDescent="0.25">
      <c r="A102" s="25"/>
      <c r="B102" s="35" t="s">
        <v>87</v>
      </c>
      <c r="C102" s="22" t="s">
        <v>0</v>
      </c>
      <c r="D102" s="134">
        <f>'Memorial de Calculo'!G246</f>
        <v>400</v>
      </c>
      <c r="E102" s="165">
        <f>'Composição de Custos (SINAPI)'!H622</f>
        <v>470.97500000000002</v>
      </c>
      <c r="F102" s="29">
        <f>E102*D102</f>
        <v>188390</v>
      </c>
      <c r="G102" s="14">
        <f t="shared" si="12"/>
        <v>1.6319655735215183E-2</v>
      </c>
    </row>
    <row r="103" spans="1:7" ht="24" x14ac:dyDescent="0.25">
      <c r="A103" s="25"/>
      <c r="B103" s="35" t="s">
        <v>112</v>
      </c>
      <c r="C103" s="22" t="s">
        <v>0</v>
      </c>
      <c r="D103" s="134">
        <f>'Memorial de Calculo'!G247</f>
        <v>12.8</v>
      </c>
      <c r="E103" s="165">
        <f>'Composição de Custos (SINAPI)'!H634</f>
        <v>86.055000000000007</v>
      </c>
      <c r="F103" s="29">
        <f>E103*D103</f>
        <v>1101.5040000000001</v>
      </c>
      <c r="G103" s="14">
        <f t="shared" si="12"/>
        <v>9.5419958973206998E-5</v>
      </c>
    </row>
    <row r="104" spans="1:7" x14ac:dyDescent="0.25">
      <c r="A104" s="9" t="s">
        <v>88</v>
      </c>
      <c r="B104" s="177" t="s">
        <v>84</v>
      </c>
      <c r="C104" s="171"/>
      <c r="D104" s="171"/>
      <c r="E104" s="171"/>
      <c r="F104" s="171"/>
      <c r="G104" s="172"/>
    </row>
    <row r="105" spans="1:7" ht="24" x14ac:dyDescent="0.25">
      <c r="A105" s="25"/>
      <c r="B105" s="87" t="s">
        <v>1458</v>
      </c>
      <c r="C105" s="22" t="s">
        <v>0</v>
      </c>
      <c r="D105" s="134">
        <f>'Memorial de Calculo'!G251</f>
        <v>15.75</v>
      </c>
      <c r="E105" s="26">
        <f>'Composição de Custos (SINAPI)'!H646</f>
        <v>395.14246820000005</v>
      </c>
      <c r="F105" s="29">
        <f>E105*D105</f>
        <v>6223.4938741500009</v>
      </c>
      <c r="G105" s="14">
        <f t="shared" si="12"/>
        <v>5.3912244543950641E-4</v>
      </c>
    </row>
    <row r="106" spans="1:7" ht="24" x14ac:dyDescent="0.25">
      <c r="A106" s="25"/>
      <c r="B106" s="87" t="s">
        <v>1442</v>
      </c>
      <c r="C106" s="22" t="s">
        <v>0</v>
      </c>
      <c r="D106" s="134">
        <f>'Memorial de Calculo'!G252</f>
        <v>27.3</v>
      </c>
      <c r="E106" s="26">
        <f>'Composição de Custos (SINAPI)'!H659</f>
        <v>312.10380000000004</v>
      </c>
      <c r="F106" s="29">
        <f>E106*D106</f>
        <v>8520.4337400000004</v>
      </c>
      <c r="G106" s="14">
        <f t="shared" si="12"/>
        <v>7.3809939673821301E-4</v>
      </c>
    </row>
    <row r="107" spans="1:7" x14ac:dyDescent="0.25">
      <c r="A107" s="9" t="s">
        <v>89</v>
      </c>
      <c r="B107" s="188" t="s">
        <v>104</v>
      </c>
      <c r="C107" s="189"/>
      <c r="D107" s="189"/>
      <c r="E107" s="189"/>
      <c r="F107" s="189"/>
      <c r="G107" s="190"/>
    </row>
    <row r="108" spans="1:7" ht="24" x14ac:dyDescent="0.25">
      <c r="A108" s="25"/>
      <c r="B108" s="87" t="s">
        <v>1444</v>
      </c>
      <c r="C108" s="20" t="s">
        <v>3</v>
      </c>
      <c r="D108" s="134">
        <f>'Memorial de Calculo'!C256</f>
        <v>583.6</v>
      </c>
      <c r="E108" s="26">
        <f>'Composição de Custos (SINAPI)'!H672</f>
        <v>165.7901</v>
      </c>
      <c r="F108" s="29">
        <f>E108*D108</f>
        <v>96755.102360000004</v>
      </c>
      <c r="G108" s="14">
        <f t="shared" si="12"/>
        <v>8.3816017895891829E-3</v>
      </c>
    </row>
    <row r="109" spans="1:7" x14ac:dyDescent="0.25">
      <c r="A109" s="24">
        <v>13</v>
      </c>
      <c r="B109" s="180" t="s">
        <v>24</v>
      </c>
      <c r="C109" s="181"/>
      <c r="D109" s="181"/>
      <c r="E109" s="181"/>
      <c r="F109" s="181"/>
      <c r="G109" s="182"/>
    </row>
    <row r="110" spans="1:7" x14ac:dyDescent="0.25">
      <c r="A110" s="9" t="s">
        <v>47</v>
      </c>
      <c r="B110" s="177" t="s">
        <v>90</v>
      </c>
      <c r="C110" s="171"/>
      <c r="D110" s="171"/>
      <c r="E110" s="171"/>
      <c r="F110" s="171"/>
      <c r="G110" s="172"/>
    </row>
    <row r="111" spans="1:7" ht="24" x14ac:dyDescent="0.25">
      <c r="A111" s="25"/>
      <c r="B111" s="87" t="s">
        <v>1459</v>
      </c>
      <c r="C111" s="20" t="s">
        <v>0</v>
      </c>
      <c r="D111" s="134">
        <f>'Memorial de Calculo'!G244</f>
        <v>240</v>
      </c>
      <c r="E111" s="26">
        <f>'Composição de Custos (SINAPI)'!H683</f>
        <v>245.54759999999999</v>
      </c>
      <c r="F111" s="29">
        <f>E111*D111</f>
        <v>58931.423999999999</v>
      </c>
      <c r="G111" s="14">
        <f t="shared" ref="G111:G113" si="13">F111/$G$162</f>
        <v>5.1050509669621404E-3</v>
      </c>
    </row>
    <row r="112" spans="1:7" ht="24" x14ac:dyDescent="0.25">
      <c r="A112" s="25"/>
      <c r="B112" s="87" t="s">
        <v>1460</v>
      </c>
      <c r="C112" s="20" t="s">
        <v>0</v>
      </c>
      <c r="D112" s="134">
        <f>'Memorial de Calculo'!G247</f>
        <v>12.8</v>
      </c>
      <c r="E112" s="26">
        <f>'Composição de Custos (SINAPI)'!H694</f>
        <v>245.54759999999999</v>
      </c>
      <c r="F112" s="29">
        <f>E112*D112</f>
        <v>3143.0092800000002</v>
      </c>
      <c r="G112" s="14">
        <f t="shared" si="13"/>
        <v>2.7226938490464749E-4</v>
      </c>
    </row>
    <row r="113" spans="1:7" ht="17.25" customHeight="1" x14ac:dyDescent="0.25">
      <c r="A113" s="25"/>
      <c r="B113" s="87" t="s">
        <v>1461</v>
      </c>
      <c r="C113" s="20" t="s">
        <v>0</v>
      </c>
      <c r="D113" s="134">
        <f>'Memorial de Calculo'!G252</f>
        <v>27.3</v>
      </c>
      <c r="E113" s="26">
        <f>'Composição de Custos (SINAPI)'!H705</f>
        <v>174.85500000000002</v>
      </c>
      <c r="F113" s="29">
        <f>E113*D113</f>
        <v>4773.5415000000003</v>
      </c>
      <c r="G113" s="14">
        <f t="shared" si="13"/>
        <v>4.1351745802729807E-4</v>
      </c>
    </row>
    <row r="114" spans="1:7" x14ac:dyDescent="0.25">
      <c r="A114" s="24">
        <v>14</v>
      </c>
      <c r="B114" s="180" t="s">
        <v>91</v>
      </c>
      <c r="C114" s="181"/>
      <c r="D114" s="181"/>
      <c r="E114" s="181"/>
      <c r="F114" s="181"/>
      <c r="G114" s="182"/>
    </row>
    <row r="115" spans="1:7" x14ac:dyDescent="0.25">
      <c r="A115" s="9" t="s">
        <v>45</v>
      </c>
      <c r="B115" s="177" t="s">
        <v>92</v>
      </c>
      <c r="C115" s="171"/>
      <c r="D115" s="171"/>
      <c r="E115" s="171"/>
      <c r="F115" s="171"/>
      <c r="G115" s="172"/>
    </row>
    <row r="116" spans="1:7" x14ac:dyDescent="0.25">
      <c r="A116" s="25"/>
      <c r="B116" s="132" t="s">
        <v>118</v>
      </c>
      <c r="C116" s="20" t="s">
        <v>2</v>
      </c>
      <c r="D116" s="135">
        <v>1</v>
      </c>
      <c r="E116" s="95">
        <f>'Composição de Custos (SINAPI)'!G1141</f>
        <v>1661.5192699999998</v>
      </c>
      <c r="F116" s="29">
        <f>E116*D116</f>
        <v>1661.5192699999998</v>
      </c>
      <c r="G116" s="14">
        <f t="shared" ref="G116:G118" si="14">F116/$G$162</f>
        <v>1.4393238751433748E-4</v>
      </c>
    </row>
    <row r="117" spans="1:7" x14ac:dyDescent="0.25">
      <c r="A117" s="25"/>
      <c r="B117" s="87" t="s">
        <v>1474</v>
      </c>
      <c r="C117" s="20" t="s">
        <v>2</v>
      </c>
      <c r="D117" s="135">
        <f>4*5*10</f>
        <v>200</v>
      </c>
      <c r="E117" s="95">
        <f>'Composição de Custos (SINAPI)'!H725</f>
        <v>326.88039999999995</v>
      </c>
      <c r="F117" s="29">
        <f>E117*D117</f>
        <v>65376.079999999987</v>
      </c>
      <c r="G117" s="14">
        <f t="shared" si="14"/>
        <v>5.6633320182487732E-3</v>
      </c>
    </row>
    <row r="118" spans="1:7" ht="27" customHeight="1" x14ac:dyDescent="0.25">
      <c r="A118" s="25"/>
      <c r="B118" s="87" t="s">
        <v>1475</v>
      </c>
      <c r="C118" s="20" t="s">
        <v>2</v>
      </c>
      <c r="D118" s="135">
        <f>4*5*10</f>
        <v>200</v>
      </c>
      <c r="E118" s="95">
        <f>'Composição de Custos (SINAPI)'!H734</f>
        <v>302.67221999999998</v>
      </c>
      <c r="F118" s="29">
        <f>E118*D118</f>
        <v>60534.443999999996</v>
      </c>
      <c r="G118" s="14">
        <f t="shared" si="14"/>
        <v>5.243915739703074E-3</v>
      </c>
    </row>
    <row r="119" spans="1:7" x14ac:dyDescent="0.25">
      <c r="A119" s="9" t="s">
        <v>46</v>
      </c>
      <c r="B119" s="170" t="s">
        <v>94</v>
      </c>
      <c r="C119" s="171"/>
      <c r="D119" s="171"/>
      <c r="E119" s="171"/>
      <c r="F119" s="171"/>
      <c r="G119" s="172"/>
    </row>
    <row r="120" spans="1:7" ht="24" x14ac:dyDescent="0.25">
      <c r="A120" s="25"/>
      <c r="B120" s="87" t="s">
        <v>1476</v>
      </c>
      <c r="C120" s="20" t="s">
        <v>2</v>
      </c>
      <c r="D120" s="135">
        <v>10</v>
      </c>
      <c r="E120" s="95">
        <f>'Composição de Custos (SINAPI)'!H758</f>
        <v>76.872020499999991</v>
      </c>
      <c r="F120" s="29">
        <f>E120*D120</f>
        <v>768.72020499999985</v>
      </c>
      <c r="G120" s="14">
        <f t="shared" ref="G120:G147" si="15">F120/$G$162</f>
        <v>6.6591905633547633E-5</v>
      </c>
    </row>
    <row r="121" spans="1:7" ht="40.5" customHeight="1" x14ac:dyDescent="0.25">
      <c r="A121" s="25"/>
      <c r="B121" s="87" t="s">
        <v>1477</v>
      </c>
      <c r="C121" s="20" t="s">
        <v>2</v>
      </c>
      <c r="D121" s="135">
        <v>10</v>
      </c>
      <c r="E121" s="95">
        <f>'Composição de Custos (SINAPI)'!H768</f>
        <v>420.298</v>
      </c>
      <c r="F121" s="29">
        <f>E121*D121</f>
        <v>4202.9799999999996</v>
      </c>
      <c r="G121" s="14">
        <f t="shared" si="15"/>
        <v>3.6409144148837356E-4</v>
      </c>
    </row>
    <row r="122" spans="1:7" ht="24" x14ac:dyDescent="0.25">
      <c r="A122" s="25"/>
      <c r="B122" s="87" t="s">
        <v>1478</v>
      </c>
      <c r="C122" s="20" t="s">
        <v>2</v>
      </c>
      <c r="D122" s="135">
        <v>10</v>
      </c>
      <c r="E122" s="95">
        <f>'Composição de Custos (SINAPI)'!H777</f>
        <v>90.2847328</v>
      </c>
      <c r="F122" s="29">
        <f>E122*D122</f>
        <v>902.84732800000006</v>
      </c>
      <c r="G122" s="14">
        <f t="shared" si="15"/>
        <v>7.8210932503948745E-5</v>
      </c>
    </row>
    <row r="123" spans="1:7" x14ac:dyDescent="0.25">
      <c r="A123" s="25"/>
      <c r="B123" s="87" t="s">
        <v>1479</v>
      </c>
      <c r="C123" s="20" t="s">
        <v>2</v>
      </c>
      <c r="D123" s="135">
        <v>10</v>
      </c>
      <c r="E123" s="95">
        <f>'Composição de Custos (SINAPI)'!H787</f>
        <v>131.9548082</v>
      </c>
      <c r="F123" s="29">
        <f>E123*D123</f>
        <v>1319.548082</v>
      </c>
      <c r="G123" s="14">
        <f t="shared" si="15"/>
        <v>1.1430845811509896E-4</v>
      </c>
    </row>
    <row r="124" spans="1:7" x14ac:dyDescent="0.25">
      <c r="A124" s="9" t="s">
        <v>48</v>
      </c>
      <c r="B124" s="170" t="s">
        <v>95</v>
      </c>
      <c r="C124" s="171"/>
      <c r="D124" s="171"/>
      <c r="E124" s="171"/>
      <c r="F124" s="171"/>
      <c r="G124" s="172"/>
    </row>
    <row r="125" spans="1:7" ht="24.75" customHeight="1" x14ac:dyDescent="0.25">
      <c r="A125" s="25"/>
      <c r="B125" s="87" t="s">
        <v>1457</v>
      </c>
      <c r="C125" s="20" t="s">
        <v>2</v>
      </c>
      <c r="D125" s="22"/>
      <c r="E125" s="95"/>
      <c r="F125" s="29">
        <f t="shared" ref="F125:F130" si="16">E125*D125</f>
        <v>0</v>
      </c>
      <c r="G125" s="14">
        <f t="shared" si="15"/>
        <v>0</v>
      </c>
    </row>
    <row r="126" spans="1:7" ht="36" customHeight="1" x14ac:dyDescent="0.25">
      <c r="A126" s="25"/>
      <c r="B126" s="87" t="s">
        <v>1480</v>
      </c>
      <c r="C126" s="20" t="s">
        <v>2</v>
      </c>
      <c r="D126" s="135">
        <f>(((6*4)+1)*5)*10</f>
        <v>1250</v>
      </c>
      <c r="E126" s="95">
        <f>'Composição de Custos (SINAPI)'!H805</f>
        <v>114.00099999999999</v>
      </c>
      <c r="F126" s="29">
        <f t="shared" si="16"/>
        <v>142501.25</v>
      </c>
      <c r="G126" s="14">
        <f t="shared" si="15"/>
        <v>1.2344452156897034E-2</v>
      </c>
    </row>
    <row r="127" spans="1:7" ht="40.5" customHeight="1" x14ac:dyDescent="0.25">
      <c r="A127" s="25"/>
      <c r="B127" s="87" t="s">
        <v>1481</v>
      </c>
      <c r="C127" s="20" t="s">
        <v>2</v>
      </c>
      <c r="D127" s="135">
        <f>13*4*5*10</f>
        <v>2600</v>
      </c>
      <c r="E127" s="95">
        <f>'Composição de Custos (SINAPI)'!H820</f>
        <v>186.49449999999996</v>
      </c>
      <c r="F127" s="29">
        <f t="shared" si="16"/>
        <v>484885.6999999999</v>
      </c>
      <c r="G127" s="14">
        <f t="shared" si="15"/>
        <v>4.2004181192891482E-2</v>
      </c>
    </row>
    <row r="128" spans="1:7" ht="36" customHeight="1" x14ac:dyDescent="0.25">
      <c r="A128" s="25"/>
      <c r="B128" s="87" t="s">
        <v>1482</v>
      </c>
      <c r="C128" s="20" t="s">
        <v>2</v>
      </c>
      <c r="D128" s="135">
        <f>4*5*10</f>
        <v>200</v>
      </c>
      <c r="E128" s="95">
        <f>'Composição de Custos (SINAPI)'!H836</f>
        <v>164.4425</v>
      </c>
      <c r="F128" s="29">
        <f t="shared" si="16"/>
        <v>32888.5</v>
      </c>
      <c r="G128" s="14">
        <f t="shared" si="15"/>
        <v>2.8490312524424039E-3</v>
      </c>
    </row>
    <row r="129" spans="1:7" ht="36" customHeight="1" x14ac:dyDescent="0.25">
      <c r="A129" s="25"/>
      <c r="B129" s="87" t="s">
        <v>1483</v>
      </c>
      <c r="C129" s="20" t="s">
        <v>2</v>
      </c>
      <c r="D129" s="135">
        <f>4*5*10</f>
        <v>200</v>
      </c>
      <c r="E129" s="167">
        <f>'Composição de Custos (SINAPI)'!H851</f>
        <v>265.99070999999998</v>
      </c>
      <c r="F129" s="29">
        <f t="shared" si="16"/>
        <v>53198.141999999993</v>
      </c>
      <c r="G129" s="14">
        <f t="shared" si="15"/>
        <v>4.6083940930680585E-3</v>
      </c>
    </row>
    <row r="130" spans="1:7" ht="39.75" customHeight="1" x14ac:dyDescent="0.25">
      <c r="A130" s="25"/>
      <c r="B130" s="87" t="s">
        <v>1484</v>
      </c>
      <c r="C130" s="20" t="s">
        <v>2</v>
      </c>
      <c r="D130" s="135">
        <v>10</v>
      </c>
      <c r="E130" s="29">
        <f>'Composição de Custos (SINAPI)'!H863</f>
        <v>4592.3629220000003</v>
      </c>
      <c r="F130" s="29">
        <f t="shared" si="16"/>
        <v>45923.629220000003</v>
      </c>
      <c r="G130" s="14">
        <f t="shared" si="15"/>
        <v>3.9782250596213627E-3</v>
      </c>
    </row>
    <row r="131" spans="1:7" x14ac:dyDescent="0.25">
      <c r="A131" s="9" t="s">
        <v>97</v>
      </c>
      <c r="B131" s="170" t="s">
        <v>114</v>
      </c>
      <c r="C131" s="171"/>
      <c r="D131" s="171"/>
      <c r="E131" s="171"/>
      <c r="F131" s="171"/>
      <c r="G131" s="172"/>
    </row>
    <row r="132" spans="1:7" ht="36" customHeight="1" x14ac:dyDescent="0.25">
      <c r="A132" s="25"/>
      <c r="B132" s="87" t="s">
        <v>1485</v>
      </c>
      <c r="C132" s="20" t="s">
        <v>2</v>
      </c>
      <c r="D132" s="118">
        <f>5*10</f>
        <v>50</v>
      </c>
      <c r="E132" s="95">
        <f>'Composição de Custos (SINAPI)'!H874</f>
        <v>385.86256809999998</v>
      </c>
      <c r="F132" s="29">
        <f t="shared" ref="F132:F139" si="17">E132*D132</f>
        <v>19293.128404999999</v>
      </c>
      <c r="G132" s="14">
        <f t="shared" si="15"/>
        <v>1.6713053433032601E-3</v>
      </c>
    </row>
    <row r="133" spans="1:7" ht="36" customHeight="1" x14ac:dyDescent="0.25">
      <c r="A133" s="25"/>
      <c r="B133" s="87" t="s">
        <v>1486</v>
      </c>
      <c r="C133" s="20" t="s">
        <v>2</v>
      </c>
      <c r="D133" s="135">
        <f>4*4*5*10</f>
        <v>800</v>
      </c>
      <c r="E133" s="95">
        <f>'Composição de Custos (SINAPI)'!H894</f>
        <v>44.194660000000006</v>
      </c>
      <c r="F133" s="29">
        <f t="shared" si="17"/>
        <v>35355.728000000003</v>
      </c>
      <c r="G133" s="14">
        <f t="shared" si="15"/>
        <v>3.0627597496040554E-3</v>
      </c>
    </row>
    <row r="134" spans="1:7" ht="36" customHeight="1" x14ac:dyDescent="0.25">
      <c r="A134" s="25"/>
      <c r="B134" s="87" t="s">
        <v>1487</v>
      </c>
      <c r="C134" s="20" t="s">
        <v>2</v>
      </c>
      <c r="D134" s="135">
        <f>2*4*5*10</f>
        <v>400</v>
      </c>
      <c r="E134" s="167">
        <f>'Composição de Custos (SINAPI)'!H910</f>
        <v>71.399989999999988</v>
      </c>
      <c r="F134" s="29">
        <f t="shared" si="17"/>
        <v>28559.995999999996</v>
      </c>
      <c r="G134" s="14">
        <f t="shared" si="15"/>
        <v>2.4740660466007888E-3</v>
      </c>
    </row>
    <row r="135" spans="1:7" ht="36" customHeight="1" x14ac:dyDescent="0.25">
      <c r="A135" s="25"/>
      <c r="B135" s="87" t="s">
        <v>1488</v>
      </c>
      <c r="C135" s="20" t="s">
        <v>2</v>
      </c>
      <c r="D135" s="135">
        <f>4*5*10</f>
        <v>200</v>
      </c>
      <c r="E135" s="95">
        <f>'Composição de Custos (SINAPI)'!H926</f>
        <v>91.327690000000004</v>
      </c>
      <c r="F135" s="29">
        <f t="shared" si="17"/>
        <v>18265.538</v>
      </c>
      <c r="G135" s="14">
        <f t="shared" si="15"/>
        <v>1.5822882954429154E-3</v>
      </c>
    </row>
    <row r="136" spans="1:7" ht="36" customHeight="1" x14ac:dyDescent="0.25">
      <c r="A136" s="25"/>
      <c r="B136" s="87" t="s">
        <v>1489</v>
      </c>
      <c r="C136" s="20" t="s">
        <v>2</v>
      </c>
      <c r="D136" s="135">
        <f>1*4*5*10</f>
        <v>200</v>
      </c>
      <c r="E136" s="167">
        <f>'Composição de Custos (SINAPI)'!H943</f>
        <v>70.477850000000004</v>
      </c>
      <c r="F136" s="29">
        <f t="shared" si="17"/>
        <v>14095.570000000002</v>
      </c>
      <c r="G136" s="14">
        <f t="shared" si="15"/>
        <v>1.2210565836383411E-3</v>
      </c>
    </row>
    <row r="137" spans="1:7" ht="36" customHeight="1" x14ac:dyDescent="0.25">
      <c r="A137" s="25"/>
      <c r="B137" s="87" t="s">
        <v>1490</v>
      </c>
      <c r="C137" s="20" t="s">
        <v>2</v>
      </c>
      <c r="D137" s="135">
        <f>3*4*5*10</f>
        <v>600</v>
      </c>
      <c r="E137" s="95">
        <f>'Composição de Custos (SINAPI)'!H957</f>
        <v>136.99273999999997</v>
      </c>
      <c r="F137" s="29">
        <f t="shared" si="17"/>
        <v>82195.643999999986</v>
      </c>
      <c r="G137" s="14">
        <f t="shared" si="15"/>
        <v>7.120359960795717E-3</v>
      </c>
    </row>
    <row r="138" spans="1:7" ht="36" customHeight="1" x14ac:dyDescent="0.25">
      <c r="A138" s="25"/>
      <c r="B138" s="87" t="s">
        <v>1502</v>
      </c>
      <c r="C138" s="20" t="s">
        <v>2</v>
      </c>
      <c r="D138" s="135">
        <f>3*4*5*10</f>
        <v>600</v>
      </c>
      <c r="E138" s="95">
        <f>'Composição de Custos (SINAPI)'!H972</f>
        <v>72.44699</v>
      </c>
      <c r="F138" s="29">
        <f t="shared" si="17"/>
        <v>43468.194000000003</v>
      </c>
      <c r="G138" s="14">
        <f t="shared" si="15"/>
        <v>3.765518135312629E-3</v>
      </c>
    </row>
    <row r="139" spans="1:7" ht="36" customHeight="1" x14ac:dyDescent="0.25">
      <c r="A139" s="25"/>
      <c r="B139" s="87" t="s">
        <v>1491</v>
      </c>
      <c r="C139" s="20" t="s">
        <v>2</v>
      </c>
      <c r="D139" s="135">
        <f>4*5*10</f>
        <v>200</v>
      </c>
      <c r="E139" s="95">
        <f>'Composição de Custos (SINAPI)'!H987</f>
        <v>150.33950000000002</v>
      </c>
      <c r="F139" s="29">
        <f t="shared" si="17"/>
        <v>30067.9</v>
      </c>
      <c r="G139" s="14">
        <f t="shared" si="15"/>
        <v>2.6046912080305569E-3</v>
      </c>
    </row>
    <row r="140" spans="1:7" x14ac:dyDescent="0.25">
      <c r="A140" s="9" t="s">
        <v>98</v>
      </c>
      <c r="B140" s="177" t="s">
        <v>96</v>
      </c>
      <c r="C140" s="171"/>
      <c r="D140" s="171"/>
      <c r="E140" s="171"/>
      <c r="F140" s="171"/>
      <c r="G140" s="172"/>
    </row>
    <row r="141" spans="1:7" ht="36" customHeight="1" x14ac:dyDescent="0.25">
      <c r="A141" s="25"/>
      <c r="B141" s="87" t="s">
        <v>1492</v>
      </c>
      <c r="C141" s="20" t="s">
        <v>2</v>
      </c>
      <c r="D141" s="135">
        <f>1*4*5*10</f>
        <v>200</v>
      </c>
      <c r="E141" s="167">
        <f>'Composição de Custos (SINAPI)'!H998</f>
        <v>134.79850000000002</v>
      </c>
      <c r="F141" s="29">
        <f>E141*D141</f>
        <v>26959.700000000004</v>
      </c>
      <c r="G141" s="14">
        <f t="shared" si="15"/>
        <v>2.3354372457385256E-3</v>
      </c>
    </row>
    <row r="142" spans="1:7" ht="36" customHeight="1" x14ac:dyDescent="0.25">
      <c r="A142" s="25"/>
      <c r="B142" s="87" t="s">
        <v>1493</v>
      </c>
      <c r="C142" s="20" t="s">
        <v>2</v>
      </c>
      <c r="D142" s="135">
        <f>3*4*5*10</f>
        <v>600</v>
      </c>
      <c r="E142" s="167">
        <f>'Composição de Custos (SINAPI)'!H1011</f>
        <v>103.09949999999999</v>
      </c>
      <c r="F142" s="29">
        <f>E142*D142</f>
        <v>61859.7</v>
      </c>
      <c r="G142" s="14">
        <f t="shared" si="15"/>
        <v>5.3587186574854846E-3</v>
      </c>
    </row>
    <row r="143" spans="1:7" ht="36" customHeight="1" x14ac:dyDescent="0.25">
      <c r="A143" s="25"/>
      <c r="B143" s="87" t="s">
        <v>1494</v>
      </c>
      <c r="C143" s="20" t="s">
        <v>2</v>
      </c>
      <c r="D143" s="135">
        <f>3*4*5*10</f>
        <v>600</v>
      </c>
      <c r="E143" s="167">
        <f>'Composição de Custos (SINAPI)'!H1024</f>
        <v>146.86449999999999</v>
      </c>
      <c r="F143" s="29">
        <f>E143*D143</f>
        <v>88118.7</v>
      </c>
      <c r="G143" s="14">
        <f t="shared" si="15"/>
        <v>7.6334563821577892E-3</v>
      </c>
    </row>
    <row r="144" spans="1:7" x14ac:dyDescent="0.25">
      <c r="A144" s="9" t="s">
        <v>99</v>
      </c>
      <c r="B144" s="170" t="s">
        <v>115</v>
      </c>
      <c r="C144" s="171"/>
      <c r="D144" s="171"/>
      <c r="E144" s="171"/>
      <c r="F144" s="171"/>
      <c r="G144" s="172"/>
    </row>
    <row r="145" spans="1:7" ht="36" customHeight="1" x14ac:dyDescent="0.25">
      <c r="A145" s="25"/>
      <c r="B145" s="87" t="s">
        <v>1495</v>
      </c>
      <c r="C145" s="20" t="s">
        <v>2</v>
      </c>
      <c r="D145" s="135">
        <f>1*5*10</f>
        <v>50</v>
      </c>
      <c r="E145" s="95">
        <f>'Composição de Custos (SINAPI)'!H1036</f>
        <v>253.941</v>
      </c>
      <c r="F145" s="29">
        <f>E145*D145</f>
        <v>12697.05</v>
      </c>
      <c r="G145" s="14">
        <f t="shared" si="15"/>
        <v>1.0999070271926E-3</v>
      </c>
    </row>
    <row r="146" spans="1:7" ht="36" customHeight="1" x14ac:dyDescent="0.25">
      <c r="A146" s="25"/>
      <c r="B146" s="87" t="s">
        <v>1507</v>
      </c>
      <c r="C146" s="20" t="s">
        <v>2</v>
      </c>
      <c r="D146" s="135">
        <f>1*5*10</f>
        <v>50</v>
      </c>
      <c r="E146" s="167">
        <f>'Composição de Custos (SINAPI)'!H1046</f>
        <v>136.29900000000001</v>
      </c>
      <c r="F146" s="29">
        <f>E146*D146</f>
        <v>6814.9500000000007</v>
      </c>
      <c r="G146" s="14">
        <f t="shared" si="15"/>
        <v>5.9035850020014175E-4</v>
      </c>
    </row>
    <row r="147" spans="1:7" ht="50.25" customHeight="1" x14ac:dyDescent="0.25">
      <c r="A147" s="25"/>
      <c r="B147" s="87" t="s">
        <v>1496</v>
      </c>
      <c r="C147" s="20" t="s">
        <v>2</v>
      </c>
      <c r="D147" s="135">
        <v>400</v>
      </c>
      <c r="E147" s="168">
        <f>'Composição de Custos (SINAPI)'!H1057</f>
        <v>24.625599999999999</v>
      </c>
      <c r="F147" s="29">
        <f>E147*D147</f>
        <v>9850.24</v>
      </c>
      <c r="G147" s="14">
        <f t="shared" si="15"/>
        <v>8.5329648977783311E-4</v>
      </c>
    </row>
    <row r="148" spans="1:7" x14ac:dyDescent="0.25">
      <c r="A148" s="24">
        <v>15</v>
      </c>
      <c r="B148" s="180" t="s">
        <v>100</v>
      </c>
      <c r="C148" s="181"/>
      <c r="D148" s="181"/>
      <c r="E148" s="181"/>
      <c r="F148" s="181"/>
      <c r="G148" s="182"/>
    </row>
    <row r="149" spans="1:7" x14ac:dyDescent="0.25">
      <c r="A149" s="9" t="s">
        <v>40</v>
      </c>
      <c r="B149" s="177" t="s">
        <v>106</v>
      </c>
      <c r="C149" s="171"/>
      <c r="D149" s="171"/>
      <c r="E149" s="171"/>
      <c r="F149" s="171"/>
      <c r="G149" s="172"/>
    </row>
    <row r="150" spans="1:7" x14ac:dyDescent="0.25">
      <c r="A150" s="25"/>
      <c r="B150" s="87" t="s">
        <v>1520</v>
      </c>
      <c r="C150" s="20" t="s">
        <v>2</v>
      </c>
      <c r="D150" s="136">
        <f>4*5*10</f>
        <v>200</v>
      </c>
      <c r="E150" s="165">
        <f>'Composição de Custos (SINAPI)'!H1066</f>
        <v>256.41000000000003</v>
      </c>
      <c r="F150" s="29">
        <f>E150*D150</f>
        <v>51282.000000000007</v>
      </c>
      <c r="G150" s="14">
        <f t="shared" ref="G150:G151" si="18">F150/$G$162</f>
        <v>4.442404508802511E-3</v>
      </c>
    </row>
    <row r="151" spans="1:7" x14ac:dyDescent="0.25">
      <c r="A151" s="25"/>
      <c r="B151" s="87" t="s">
        <v>1497</v>
      </c>
      <c r="C151" s="20" t="s">
        <v>2</v>
      </c>
      <c r="D151" s="136">
        <f>4*5*10</f>
        <v>200</v>
      </c>
      <c r="E151" s="165">
        <f>'Composição de Custos (SINAPI)'!H1081</f>
        <v>195.42</v>
      </c>
      <c r="F151" s="29">
        <f>E151*D151</f>
        <v>39084</v>
      </c>
      <c r="G151" s="14">
        <f t="shared" si="18"/>
        <v>3.385728673258401E-3</v>
      </c>
    </row>
    <row r="152" spans="1:7" x14ac:dyDescent="0.25">
      <c r="A152" s="9" t="s">
        <v>49</v>
      </c>
      <c r="B152" s="183" t="s">
        <v>107</v>
      </c>
      <c r="C152" s="184"/>
      <c r="D152" s="184"/>
      <c r="E152" s="184"/>
      <c r="F152" s="184"/>
      <c r="G152" s="185"/>
    </row>
    <row r="153" spans="1:7" x14ac:dyDescent="0.25">
      <c r="A153" s="25"/>
      <c r="B153" s="87" t="s">
        <v>1544</v>
      </c>
      <c r="C153" s="20" t="s">
        <v>2</v>
      </c>
      <c r="D153" s="136">
        <f>4*5*10</f>
        <v>200</v>
      </c>
      <c r="E153" s="26">
        <f>'Composição de Custos (SINAPI)'!H1091</f>
        <v>260.58</v>
      </c>
      <c r="F153" s="29">
        <f>E153*D153</f>
        <v>52116</v>
      </c>
      <c r="G153" s="14">
        <f t="shared" ref="G153:G155" si="19">F153/$G$162</f>
        <v>4.5146514055760621E-3</v>
      </c>
    </row>
    <row r="154" spans="1:7" ht="24" x14ac:dyDescent="0.25">
      <c r="A154" s="25"/>
      <c r="B154" s="87" t="s">
        <v>1550</v>
      </c>
      <c r="C154" s="20" t="s">
        <v>2</v>
      </c>
      <c r="D154" s="136">
        <f>4*5*10</f>
        <v>200</v>
      </c>
      <c r="E154" s="26">
        <f>'Composição de Custos (SINAPI)'!H1102</f>
        <v>165.26999999999998</v>
      </c>
      <c r="F154" s="29">
        <f>E154*D154</f>
        <v>33054</v>
      </c>
      <c r="G154" s="14">
        <f t="shared" si="19"/>
        <v>2.8633680167302012E-3</v>
      </c>
    </row>
    <row r="155" spans="1:7" x14ac:dyDescent="0.25">
      <c r="A155" s="25"/>
      <c r="B155" s="87" t="s">
        <v>1531</v>
      </c>
      <c r="C155" s="20" t="s">
        <v>2</v>
      </c>
      <c r="D155" s="136">
        <f>4*5*10</f>
        <v>200</v>
      </c>
      <c r="E155" s="26">
        <f>'Composição de Custos (SINAPI)'!H1110</f>
        <v>63.654398</v>
      </c>
      <c r="F155" s="29">
        <f>E155*D155</f>
        <v>12730.8796</v>
      </c>
      <c r="G155" s="14">
        <f t="shared" si="19"/>
        <v>1.1028375830907902E-3</v>
      </c>
    </row>
    <row r="156" spans="1:7" x14ac:dyDescent="0.25">
      <c r="A156" s="24">
        <v>16</v>
      </c>
      <c r="B156" s="179" t="s">
        <v>19</v>
      </c>
      <c r="C156" s="179"/>
      <c r="D156" s="179"/>
      <c r="E156" s="179"/>
      <c r="F156" s="179"/>
      <c r="G156" s="179"/>
    </row>
    <row r="157" spans="1:7" x14ac:dyDescent="0.25">
      <c r="A157" s="9" t="s">
        <v>41</v>
      </c>
      <c r="B157" s="177" t="s">
        <v>101</v>
      </c>
      <c r="C157" s="171"/>
      <c r="D157" s="171"/>
      <c r="E157" s="171"/>
      <c r="F157" s="171"/>
      <c r="G157" s="172"/>
    </row>
    <row r="158" spans="1:7" x14ac:dyDescent="0.25">
      <c r="A158" s="25"/>
      <c r="B158" s="87" t="s">
        <v>1527</v>
      </c>
      <c r="C158" s="22" t="s">
        <v>1438</v>
      </c>
      <c r="D158" s="136">
        <f>((24+(36.59*4))*5*10)</f>
        <v>8518</v>
      </c>
      <c r="E158" s="26">
        <f>'Composição de Custos (SINAPI)'!H1121</f>
        <v>1.5477999999999998</v>
      </c>
      <c r="F158" s="29">
        <f>E158*D158</f>
        <v>13184.160399999999</v>
      </c>
      <c r="G158" s="14">
        <f t="shared" ref="G158" si="20">F158/$G$162</f>
        <v>1.1421039274157698E-3</v>
      </c>
    </row>
    <row r="159" spans="1:7" x14ac:dyDescent="0.25">
      <c r="A159" s="30"/>
      <c r="B159" s="31"/>
      <c r="C159" s="32"/>
      <c r="D159" s="33"/>
      <c r="E159" s="33"/>
      <c r="F159" s="33"/>
      <c r="G159" s="33"/>
    </row>
    <row r="160" spans="1:7" x14ac:dyDescent="0.25">
      <c r="A160" s="186" t="s">
        <v>20</v>
      </c>
      <c r="B160" s="186"/>
      <c r="C160" s="186"/>
      <c r="D160" s="186"/>
      <c r="E160" s="186"/>
      <c r="F160" s="23"/>
      <c r="G160" s="162">
        <f>SUM(F158,F153:F155,F150:F151,F145:F147,F142:F143,F141,F139,F132:F138,F126:F130,F125,F120:F123,F116:F118,F111:F113,F105:F108,F99:F103,F96,F92:F94,F89,F87,F84,F82,F80,F77,F74:F75,F72,F69,F65:F67,F63:F63,F59:F61,F56,F53:F54,F49:F50,F47,F45,F41:F42,F36:F39,F29:F34,F23:F27,F17:F20,F14,F11,F7:F9)</f>
        <v>8405736.3836525846</v>
      </c>
    </row>
    <row r="161" spans="1:7" x14ac:dyDescent="0.25">
      <c r="A161" s="186" t="s">
        <v>21</v>
      </c>
      <c r="B161" s="186"/>
      <c r="C161" s="186"/>
      <c r="D161" s="186"/>
      <c r="E161" s="186"/>
      <c r="F161" s="23"/>
      <c r="G161" s="161">
        <f>'Custos Indiretos, PV e BDI'!E100</f>
        <v>0.37331792082035009</v>
      </c>
    </row>
    <row r="162" spans="1:7" x14ac:dyDescent="0.25">
      <c r="A162" s="186" t="s">
        <v>22</v>
      </c>
      <c r="B162" s="186"/>
      <c r="C162" s="186"/>
      <c r="D162" s="186"/>
      <c r="E162" s="186"/>
      <c r="F162" s="23"/>
      <c r="G162" s="162">
        <f>G160*(1+G161)</f>
        <v>11543748.413361736</v>
      </c>
    </row>
  </sheetData>
  <mergeCells count="61">
    <mergeCell ref="B156:G156"/>
    <mergeCell ref="B157:G157"/>
    <mergeCell ref="B140:G140"/>
    <mergeCell ref="B144:G144"/>
    <mergeCell ref="B148:G148"/>
    <mergeCell ref="B149:G149"/>
    <mergeCell ref="B152:G152"/>
    <mergeCell ref="B114:G114"/>
    <mergeCell ref="B115:G115"/>
    <mergeCell ref="B119:G119"/>
    <mergeCell ref="B124:G124"/>
    <mergeCell ref="B131:G131"/>
    <mergeCell ref="B107:G107"/>
    <mergeCell ref="B97:G97"/>
    <mergeCell ref="B98:G98"/>
    <mergeCell ref="B109:G109"/>
    <mergeCell ref="B110:G110"/>
    <mergeCell ref="B83:G83"/>
    <mergeCell ref="B85:G85"/>
    <mergeCell ref="B88:G88"/>
    <mergeCell ref="B104:G104"/>
    <mergeCell ref="B90:G90"/>
    <mergeCell ref="B91:G91"/>
    <mergeCell ref="B95:G95"/>
    <mergeCell ref="B86:G86"/>
    <mergeCell ref="B68:G68"/>
    <mergeCell ref="B76:G76"/>
    <mergeCell ref="B78:G78"/>
    <mergeCell ref="B79:G79"/>
    <mergeCell ref="B81:G81"/>
    <mergeCell ref="B73:G73"/>
    <mergeCell ref="A162:E162"/>
    <mergeCell ref="A160:E160"/>
    <mergeCell ref="A161:E161"/>
    <mergeCell ref="B5:G5"/>
    <mergeCell ref="B6:G6"/>
    <mergeCell ref="B10:G10"/>
    <mergeCell ref="B12:G12"/>
    <mergeCell ref="B13:G13"/>
    <mergeCell ref="B51:G51"/>
    <mergeCell ref="B52:G52"/>
    <mergeCell ref="B55:G55"/>
    <mergeCell ref="B58:G58"/>
    <mergeCell ref="B57:G57"/>
    <mergeCell ref="B43:G43"/>
    <mergeCell ref="B71:G71"/>
    <mergeCell ref="B70:G70"/>
    <mergeCell ref="B62:G62"/>
    <mergeCell ref="B64:G64"/>
    <mergeCell ref="A1:G1"/>
    <mergeCell ref="A2:G2"/>
    <mergeCell ref="B44:G44"/>
    <mergeCell ref="B46:G46"/>
    <mergeCell ref="B48:G48"/>
    <mergeCell ref="B16:G16"/>
    <mergeCell ref="B15:G15"/>
    <mergeCell ref="B21:G21"/>
    <mergeCell ref="B22:G22"/>
    <mergeCell ref="B28:G28"/>
    <mergeCell ref="B35:G35"/>
    <mergeCell ref="B40:G40"/>
  </mergeCells>
  <phoneticPr fontId="2" type="noConversion"/>
  <pageMargins left="0.51" right="0.51" top="0.79" bottom="0.79" header="0.31" footer="0.31"/>
  <pageSetup paperSize="9" scale="65" orientation="portrait" verticalDpi="300" r:id="rId1"/>
  <colBreaks count="1" manualBreakCount="1">
    <brk id="8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2:P1207"/>
  <sheetViews>
    <sheetView topLeftCell="B1" zoomScale="60" zoomScaleNormal="60" workbookViewId="0">
      <selection activeCell="B3" sqref="B3"/>
    </sheetView>
  </sheetViews>
  <sheetFormatPr defaultRowHeight="15" x14ac:dyDescent="0.25"/>
  <cols>
    <col min="2" max="2" width="18" customWidth="1"/>
    <col min="3" max="3" width="88" customWidth="1"/>
    <col min="4" max="4" width="8.140625" customWidth="1"/>
    <col min="5" max="5" width="10" customWidth="1"/>
    <col min="6" max="6" width="11" customWidth="1"/>
    <col min="7" max="7" width="17.140625" customWidth="1"/>
    <col min="8" max="8" width="19.140625" customWidth="1"/>
    <col min="10" max="10" width="21.7109375" customWidth="1"/>
    <col min="11" max="11" width="79.42578125" customWidth="1"/>
    <col min="12" max="12" width="15.28515625" customWidth="1"/>
    <col min="13" max="13" width="16.5703125" customWidth="1"/>
    <col min="14" max="14" width="15.28515625" customWidth="1"/>
    <col min="15" max="15" width="13" customWidth="1"/>
    <col min="16" max="16" width="27.28515625" customWidth="1"/>
  </cols>
  <sheetData>
    <row r="2" spans="2:16" ht="15.75" x14ac:dyDescent="0.25">
      <c r="B2" s="200" t="s">
        <v>1113</v>
      </c>
      <c r="C2" s="200"/>
      <c r="D2" s="200"/>
      <c r="E2" s="200"/>
      <c r="F2" s="200"/>
      <c r="G2" s="200"/>
      <c r="H2" s="200"/>
      <c r="J2" s="191" t="s">
        <v>120</v>
      </c>
      <c r="K2" s="191"/>
      <c r="L2" s="191"/>
      <c r="M2" s="191"/>
      <c r="N2" s="191"/>
      <c r="O2" s="191"/>
      <c r="P2" s="191"/>
    </row>
    <row r="3" spans="2:16" x14ac:dyDescent="0.25">
      <c r="B3" s="100" t="s">
        <v>121</v>
      </c>
      <c r="C3" s="112" t="s">
        <v>122</v>
      </c>
      <c r="D3" s="100" t="s">
        <v>123</v>
      </c>
      <c r="E3" s="100" t="s">
        <v>124</v>
      </c>
      <c r="F3" s="82" t="s">
        <v>125</v>
      </c>
      <c r="G3" s="82" t="s">
        <v>126</v>
      </c>
      <c r="H3" s="82" t="s">
        <v>127</v>
      </c>
      <c r="J3" s="38" t="s">
        <v>121</v>
      </c>
      <c r="K3" s="39" t="s">
        <v>122</v>
      </c>
      <c r="L3" s="38" t="s">
        <v>123</v>
      </c>
      <c r="M3" s="38" t="s">
        <v>124</v>
      </c>
      <c r="N3" s="40" t="s">
        <v>125</v>
      </c>
      <c r="O3" s="40" t="s">
        <v>126</v>
      </c>
      <c r="P3" s="41" t="s">
        <v>127</v>
      </c>
    </row>
    <row r="4" spans="2:16" ht="47.25" customHeight="1" x14ac:dyDescent="0.25">
      <c r="B4" s="42" t="s">
        <v>960</v>
      </c>
      <c r="C4" s="43" t="s">
        <v>961</v>
      </c>
      <c r="D4" s="44" t="s">
        <v>117</v>
      </c>
      <c r="E4" s="38" t="s">
        <v>128</v>
      </c>
      <c r="F4" s="40"/>
      <c r="G4" s="40"/>
      <c r="H4" s="63">
        <f>SUM(H6:H7)</f>
        <v>468.03120119999994</v>
      </c>
      <c r="J4" s="42" t="s">
        <v>960</v>
      </c>
      <c r="K4" s="43" t="s">
        <v>961</v>
      </c>
      <c r="L4" s="44" t="s">
        <v>117</v>
      </c>
      <c r="M4" s="38" t="s">
        <v>128</v>
      </c>
      <c r="N4" s="40"/>
      <c r="O4" s="40"/>
      <c r="P4" s="45">
        <f>SUM(P7:P10)</f>
        <v>516.45389999999998</v>
      </c>
    </row>
    <row r="5" spans="2:16" ht="58.5" customHeight="1" x14ac:dyDescent="0.25">
      <c r="B5" s="46" t="s">
        <v>656</v>
      </c>
      <c r="C5" s="47" t="s">
        <v>137</v>
      </c>
      <c r="D5" s="48" t="s">
        <v>597</v>
      </c>
      <c r="E5" s="49" t="s">
        <v>139</v>
      </c>
      <c r="F5" s="49">
        <v>3.0000000000000001E-3</v>
      </c>
      <c r="G5" s="51">
        <v>4.8600000000000003</v>
      </c>
      <c r="H5" s="77">
        <f>G5*F5</f>
        <v>1.4580000000000001E-2</v>
      </c>
      <c r="J5" s="46" t="s">
        <v>1002</v>
      </c>
      <c r="K5" s="47" t="s">
        <v>1001</v>
      </c>
      <c r="L5" s="49" t="s">
        <v>138</v>
      </c>
      <c r="M5" s="49" t="s">
        <v>139</v>
      </c>
      <c r="N5" s="49">
        <v>0.5</v>
      </c>
      <c r="O5" s="51">
        <v>25.95</v>
      </c>
      <c r="P5" s="77">
        <f>O5*N5</f>
        <v>12.975</v>
      </c>
    </row>
    <row r="6" spans="2:16" ht="58.5" customHeight="1" x14ac:dyDescent="0.25">
      <c r="B6" s="53"/>
      <c r="C6" s="60" t="s">
        <v>155</v>
      </c>
      <c r="D6" s="61" t="s">
        <v>156</v>
      </c>
      <c r="E6" s="38" t="s">
        <v>139</v>
      </c>
      <c r="F6" s="62">
        <v>1.1399999999999999</v>
      </c>
      <c r="G6" s="63"/>
      <c r="H6" s="63">
        <f>(SUM(H5))*(1+F6)</f>
        <v>3.1201199999999998E-2</v>
      </c>
      <c r="J6" s="46" t="s">
        <v>656</v>
      </c>
      <c r="K6" s="47" t="s">
        <v>137</v>
      </c>
      <c r="L6" s="48" t="s">
        <v>138</v>
      </c>
      <c r="M6" s="49" t="s">
        <v>139</v>
      </c>
      <c r="N6" s="49">
        <v>3</v>
      </c>
      <c r="O6" s="51">
        <v>9.9700000000000006</v>
      </c>
      <c r="P6" s="77">
        <f>O6*N6</f>
        <v>29.910000000000004</v>
      </c>
    </row>
    <row r="7" spans="2:16" ht="58.5" customHeight="1" x14ac:dyDescent="0.25">
      <c r="B7" s="46" t="s">
        <v>1083</v>
      </c>
      <c r="C7" s="47" t="s">
        <v>1082</v>
      </c>
      <c r="D7" s="48" t="s">
        <v>249</v>
      </c>
      <c r="E7" s="49" t="s">
        <v>129</v>
      </c>
      <c r="F7" s="49">
        <v>5.9999999999999995E-4</v>
      </c>
      <c r="G7" s="113">
        <v>780000</v>
      </c>
      <c r="H7" s="51">
        <f>F7*G7</f>
        <v>467.99999999999994</v>
      </c>
      <c r="J7" s="46"/>
      <c r="K7" s="60" t="s">
        <v>155</v>
      </c>
      <c r="L7" s="61" t="s">
        <v>156</v>
      </c>
      <c r="M7" s="38" t="s">
        <v>139</v>
      </c>
      <c r="N7" s="62">
        <v>1.1399999999999999</v>
      </c>
      <c r="O7" s="63"/>
      <c r="P7" s="84">
        <f>(SUM(P5:P6))*(1+N7)</f>
        <v>91.773899999999998</v>
      </c>
    </row>
    <row r="8" spans="2:16" x14ac:dyDescent="0.25">
      <c r="B8" s="52" t="s">
        <v>130</v>
      </c>
      <c r="C8" s="192" t="s">
        <v>232</v>
      </c>
      <c r="D8" s="192"/>
      <c r="E8" s="192"/>
      <c r="F8" s="192"/>
      <c r="G8" s="192"/>
      <c r="H8" s="192"/>
      <c r="J8" s="46" t="s">
        <v>997</v>
      </c>
      <c r="K8" s="47" t="s">
        <v>999</v>
      </c>
      <c r="L8" s="49" t="s">
        <v>138</v>
      </c>
      <c r="M8" s="49" t="s">
        <v>129</v>
      </c>
      <c r="N8" s="49">
        <v>2</v>
      </c>
      <c r="O8" s="51">
        <v>44.39</v>
      </c>
      <c r="P8" s="51">
        <f t="shared" ref="P8:P9" si="0">N8*O8</f>
        <v>88.78</v>
      </c>
    </row>
    <row r="9" spans="2:16" x14ac:dyDescent="0.25">
      <c r="J9" s="46" t="s">
        <v>998</v>
      </c>
      <c r="K9" s="47" t="s">
        <v>1000</v>
      </c>
      <c r="L9" s="49" t="s">
        <v>138</v>
      </c>
      <c r="M9" s="49" t="s">
        <v>129</v>
      </c>
      <c r="N9" s="49">
        <v>1</v>
      </c>
      <c r="O9" s="51">
        <v>150.72</v>
      </c>
      <c r="P9" s="51">
        <f t="shared" si="0"/>
        <v>150.72</v>
      </c>
    </row>
    <row r="10" spans="2:16" ht="30" x14ac:dyDescent="0.25">
      <c r="B10" s="191" t="s">
        <v>132</v>
      </c>
      <c r="C10" s="191"/>
      <c r="D10" s="191"/>
      <c r="E10" s="191"/>
      <c r="F10" s="191"/>
      <c r="G10" s="191"/>
      <c r="H10" s="191"/>
      <c r="J10" s="46" t="s">
        <v>962</v>
      </c>
      <c r="K10" s="47" t="s">
        <v>963</v>
      </c>
      <c r="L10" s="48" t="s">
        <v>249</v>
      </c>
      <c r="M10" s="49" t="s">
        <v>129</v>
      </c>
      <c r="N10" s="49">
        <v>1</v>
      </c>
      <c r="O10" s="85">
        <v>185.18</v>
      </c>
      <c r="P10" s="51">
        <f>N10*O10</f>
        <v>185.18</v>
      </c>
    </row>
    <row r="11" spans="2:16" x14ac:dyDescent="0.25">
      <c r="B11" s="38" t="s">
        <v>121</v>
      </c>
      <c r="C11" s="39" t="s">
        <v>122</v>
      </c>
      <c r="D11" s="38" t="s">
        <v>123</v>
      </c>
      <c r="E11" s="38" t="s">
        <v>124</v>
      </c>
      <c r="F11" s="40" t="s">
        <v>125</v>
      </c>
      <c r="G11" s="40" t="s">
        <v>126</v>
      </c>
      <c r="H11" s="41" t="s">
        <v>127</v>
      </c>
      <c r="J11" s="52" t="s">
        <v>130</v>
      </c>
      <c r="K11" s="192" t="s">
        <v>232</v>
      </c>
      <c r="L11" s="192"/>
      <c r="M11" s="192"/>
      <c r="N11" s="192"/>
      <c r="O11" s="192"/>
      <c r="P11" s="192"/>
    </row>
    <row r="12" spans="2:16" x14ac:dyDescent="0.25">
      <c r="B12" s="42" t="s">
        <v>133</v>
      </c>
      <c r="C12" s="43" t="s">
        <v>134</v>
      </c>
      <c r="D12" s="44" t="s">
        <v>135</v>
      </c>
      <c r="E12" s="38" t="s">
        <v>128</v>
      </c>
      <c r="F12" s="40"/>
      <c r="G12" s="40"/>
      <c r="H12" s="45">
        <f>H14</f>
        <v>33.281279999999995</v>
      </c>
    </row>
    <row r="13" spans="2:16" ht="33" customHeight="1" x14ac:dyDescent="0.25">
      <c r="B13" s="53" t="s">
        <v>136</v>
      </c>
      <c r="C13" s="47" t="s">
        <v>137</v>
      </c>
      <c r="D13" s="53" t="s">
        <v>138</v>
      </c>
      <c r="E13" s="49" t="s">
        <v>139</v>
      </c>
      <c r="F13" s="54">
        <v>3.2</v>
      </c>
      <c r="G13" s="55">
        <v>4.8600000000000003</v>
      </c>
      <c r="H13" s="51">
        <f>F13*G13</f>
        <v>15.552000000000001</v>
      </c>
    </row>
    <row r="14" spans="2:16" ht="33" customHeight="1" x14ac:dyDescent="0.25">
      <c r="B14" s="53"/>
      <c r="C14" s="60" t="s">
        <v>155</v>
      </c>
      <c r="D14" s="61" t="s">
        <v>156</v>
      </c>
      <c r="E14" s="38" t="s">
        <v>139</v>
      </c>
      <c r="F14" s="62">
        <v>1.1399999999999999</v>
      </c>
      <c r="G14" s="63"/>
      <c r="H14" s="63">
        <f>(SUM(H13))*(1+F14)</f>
        <v>33.281279999999995</v>
      </c>
      <c r="J14" s="191" t="s">
        <v>120</v>
      </c>
      <c r="K14" s="191"/>
      <c r="L14" s="191"/>
      <c r="M14" s="191"/>
      <c r="N14" s="191"/>
      <c r="O14" s="191"/>
      <c r="P14" s="191"/>
    </row>
    <row r="15" spans="2:16" x14ac:dyDescent="0.25">
      <c r="B15" s="52" t="s">
        <v>130</v>
      </c>
      <c r="C15" s="192" t="s">
        <v>131</v>
      </c>
      <c r="D15" s="192"/>
      <c r="E15" s="192"/>
      <c r="F15" s="192"/>
      <c r="G15" s="192"/>
      <c r="H15" s="192"/>
      <c r="J15" s="38" t="s">
        <v>121</v>
      </c>
      <c r="K15" s="39" t="s">
        <v>122</v>
      </c>
      <c r="L15" s="38" t="s">
        <v>123</v>
      </c>
      <c r="M15" s="38" t="s">
        <v>124</v>
      </c>
      <c r="N15" s="40" t="s">
        <v>125</v>
      </c>
      <c r="O15" s="40" t="s">
        <v>126</v>
      </c>
      <c r="P15" s="41" t="s">
        <v>127</v>
      </c>
    </row>
    <row r="16" spans="2:16" ht="30" x14ac:dyDescent="0.25">
      <c r="J16" s="42" t="s">
        <v>960</v>
      </c>
      <c r="K16" s="43" t="s">
        <v>961</v>
      </c>
      <c r="L16" s="44" t="s">
        <v>117</v>
      </c>
      <c r="M16" s="38" t="s">
        <v>128</v>
      </c>
      <c r="N16" s="40"/>
      <c r="O16" s="40"/>
      <c r="P16" s="45">
        <f>SUM(P19:P20)</f>
        <v>255.6181</v>
      </c>
    </row>
    <row r="17" spans="1:16" ht="15.75" x14ac:dyDescent="0.25">
      <c r="B17" s="191" t="s">
        <v>140</v>
      </c>
      <c r="C17" s="191"/>
      <c r="D17" s="191"/>
      <c r="E17" s="191"/>
      <c r="F17" s="191"/>
      <c r="G17" s="191"/>
      <c r="H17" s="191"/>
      <c r="J17" s="46" t="s">
        <v>1002</v>
      </c>
      <c r="K17" s="47" t="s">
        <v>1001</v>
      </c>
      <c r="L17" s="49" t="s">
        <v>138</v>
      </c>
      <c r="M17" s="49" t="s">
        <v>139</v>
      </c>
      <c r="N17" s="49">
        <v>0.5</v>
      </c>
      <c r="O17" s="51">
        <v>25.95</v>
      </c>
      <c r="P17" s="77">
        <f>O17*N17</f>
        <v>12.975</v>
      </c>
    </row>
    <row r="18" spans="1:16" x14ac:dyDescent="0.25">
      <c r="B18" s="38" t="s">
        <v>121</v>
      </c>
      <c r="C18" s="39" t="s">
        <v>122</v>
      </c>
      <c r="D18" s="38" t="s">
        <v>123</v>
      </c>
      <c r="E18" s="38" t="s">
        <v>124</v>
      </c>
      <c r="F18" s="40" t="s">
        <v>125</v>
      </c>
      <c r="G18" s="40" t="s">
        <v>126</v>
      </c>
      <c r="H18" s="41" t="s">
        <v>127</v>
      </c>
      <c r="J18" s="46" t="s">
        <v>656</v>
      </c>
      <c r="K18" s="47" t="s">
        <v>137</v>
      </c>
      <c r="L18" s="48" t="s">
        <v>138</v>
      </c>
      <c r="M18" s="49" t="s">
        <v>139</v>
      </c>
      <c r="N18" s="49">
        <v>2</v>
      </c>
      <c r="O18" s="51">
        <v>9.9700000000000006</v>
      </c>
      <c r="P18" s="77">
        <f>O18*N18</f>
        <v>19.940000000000001</v>
      </c>
    </row>
    <row r="19" spans="1:16" ht="45" x14ac:dyDescent="0.25">
      <c r="B19" s="42" t="s">
        <v>141</v>
      </c>
      <c r="C19" s="43" t="s">
        <v>142</v>
      </c>
      <c r="D19" s="44" t="s">
        <v>143</v>
      </c>
      <c r="E19" s="38" t="s">
        <v>128</v>
      </c>
      <c r="F19" s="40"/>
      <c r="G19" s="40"/>
      <c r="H19" s="45">
        <f>SUM(H26:H41)</f>
        <v>455.12331999999998</v>
      </c>
      <c r="J19" s="46"/>
      <c r="K19" s="60" t="s">
        <v>155</v>
      </c>
      <c r="L19" s="61" t="s">
        <v>156</v>
      </c>
      <c r="M19" s="38" t="s">
        <v>139</v>
      </c>
      <c r="N19" s="62">
        <v>1.1399999999999999</v>
      </c>
      <c r="O19" s="63"/>
      <c r="P19" s="84">
        <f>(SUM(P17:P18))*(1+N19)</f>
        <v>70.438099999999991</v>
      </c>
    </row>
    <row r="20" spans="1:16" ht="30" x14ac:dyDescent="0.25">
      <c r="B20" s="53" t="s">
        <v>144</v>
      </c>
      <c r="C20" s="56" t="s">
        <v>145</v>
      </c>
      <c r="D20" s="53" t="s">
        <v>138</v>
      </c>
      <c r="E20" s="49" t="s">
        <v>139</v>
      </c>
      <c r="F20" s="54">
        <v>0.67</v>
      </c>
      <c r="G20" s="55">
        <v>5.13</v>
      </c>
      <c r="H20" s="51">
        <f>F20*G20</f>
        <v>3.4371</v>
      </c>
      <c r="J20" s="46" t="s">
        <v>962</v>
      </c>
      <c r="K20" s="47" t="s">
        <v>963</v>
      </c>
      <c r="L20" s="48" t="s">
        <v>249</v>
      </c>
      <c r="M20" s="49" t="s">
        <v>129</v>
      </c>
      <c r="N20" s="49">
        <v>1</v>
      </c>
      <c r="O20" s="85">
        <v>185.18</v>
      </c>
      <c r="P20" s="51">
        <f>N20*O20</f>
        <v>185.18</v>
      </c>
    </row>
    <row r="21" spans="1:16" x14ac:dyDescent="0.25">
      <c r="B21" s="47" t="s">
        <v>146</v>
      </c>
      <c r="C21" s="47" t="s">
        <v>147</v>
      </c>
      <c r="D21" s="53" t="s">
        <v>138</v>
      </c>
      <c r="E21" s="49" t="s">
        <v>139</v>
      </c>
      <c r="F21" s="54">
        <v>1.61</v>
      </c>
      <c r="G21" s="57">
        <v>5.13</v>
      </c>
      <c r="H21" s="51">
        <f t="shared" ref="H21:H25" si="1">F21*G21</f>
        <v>8.2592999999999996</v>
      </c>
      <c r="J21" s="52" t="s">
        <v>130</v>
      </c>
      <c r="K21" s="192" t="s">
        <v>232</v>
      </c>
      <c r="L21" s="192"/>
      <c r="M21" s="192"/>
      <c r="N21" s="192"/>
      <c r="O21" s="192"/>
      <c r="P21" s="192"/>
    </row>
    <row r="22" spans="1:16" x14ac:dyDescent="0.25">
      <c r="B22" s="47" t="s">
        <v>148</v>
      </c>
      <c r="C22" s="47" t="s">
        <v>149</v>
      </c>
      <c r="D22" s="53" t="s">
        <v>138</v>
      </c>
      <c r="E22" s="49" t="s">
        <v>139</v>
      </c>
      <c r="F22" s="54">
        <v>1.61</v>
      </c>
      <c r="G22" s="57">
        <v>8.24</v>
      </c>
      <c r="H22" s="51">
        <f t="shared" si="1"/>
        <v>13.266400000000001</v>
      </c>
    </row>
    <row r="23" spans="1:16" x14ac:dyDescent="0.25">
      <c r="B23" s="47" t="s">
        <v>150</v>
      </c>
      <c r="C23" s="47" t="s">
        <v>151</v>
      </c>
      <c r="D23" s="53" t="s">
        <v>138</v>
      </c>
      <c r="E23" s="49" t="s">
        <v>139</v>
      </c>
      <c r="F23" s="54">
        <v>0.67</v>
      </c>
      <c r="G23" s="57">
        <v>8.24</v>
      </c>
      <c r="H23" s="51">
        <f t="shared" si="1"/>
        <v>5.5208000000000004</v>
      </c>
    </row>
    <row r="24" spans="1:16" x14ac:dyDescent="0.25">
      <c r="B24" s="47" t="s">
        <v>152</v>
      </c>
      <c r="C24" s="47" t="s">
        <v>153</v>
      </c>
      <c r="D24" s="53" t="s">
        <v>138</v>
      </c>
      <c r="E24" s="49" t="s">
        <v>139</v>
      </c>
      <c r="F24" s="54">
        <v>2.68</v>
      </c>
      <c r="G24" s="57">
        <v>8.24</v>
      </c>
      <c r="H24" s="51">
        <f t="shared" si="1"/>
        <v>22.083200000000001</v>
      </c>
      <c r="M24" s="58"/>
    </row>
    <row r="25" spans="1:16" x14ac:dyDescent="0.25">
      <c r="B25" s="47" t="s">
        <v>154</v>
      </c>
      <c r="C25" s="47" t="s">
        <v>137</v>
      </c>
      <c r="D25" s="53" t="s">
        <v>138</v>
      </c>
      <c r="E25" s="49" t="s">
        <v>139</v>
      </c>
      <c r="F25" s="54">
        <v>9.4700000000000006</v>
      </c>
      <c r="G25" s="57">
        <v>4.8600000000000003</v>
      </c>
      <c r="H25" s="51">
        <f t="shared" si="1"/>
        <v>46.024200000000008</v>
      </c>
    </row>
    <row r="26" spans="1:16" x14ac:dyDescent="0.25">
      <c r="A26" s="59"/>
      <c r="B26" s="47"/>
      <c r="C26" s="60" t="s">
        <v>155</v>
      </c>
      <c r="D26" s="61" t="s">
        <v>156</v>
      </c>
      <c r="E26" s="38" t="s">
        <v>139</v>
      </c>
      <c r="F26" s="62">
        <v>1.1399999999999999</v>
      </c>
      <c r="G26" s="63"/>
      <c r="H26" s="63">
        <f>(SUM(H20:H25))*(1+F26)</f>
        <v>210.98473999999999</v>
      </c>
    </row>
    <row r="27" spans="1:16" x14ac:dyDescent="0.25">
      <c r="B27" s="53" t="s">
        <v>157</v>
      </c>
      <c r="C27" s="64" t="s">
        <v>158</v>
      </c>
      <c r="D27" s="53" t="s">
        <v>135</v>
      </c>
      <c r="E27" s="49" t="s">
        <v>159</v>
      </c>
      <c r="F27" s="54">
        <v>0.18</v>
      </c>
      <c r="G27" s="54">
        <v>73</v>
      </c>
      <c r="H27" s="51">
        <f>F27*G27</f>
        <v>13.139999999999999</v>
      </c>
    </row>
    <row r="28" spans="1:16" x14ac:dyDescent="0.25">
      <c r="B28" s="47" t="s">
        <v>160</v>
      </c>
      <c r="C28" s="47" t="s">
        <v>161</v>
      </c>
      <c r="D28" s="53" t="s">
        <v>135</v>
      </c>
      <c r="E28" s="49" t="s">
        <v>159</v>
      </c>
      <c r="F28" s="54">
        <v>0.03</v>
      </c>
      <c r="G28" s="51">
        <v>58.35</v>
      </c>
      <c r="H28" s="51">
        <f t="shared" ref="H28:H36" si="2">F28*G28</f>
        <v>1.7504999999999999</v>
      </c>
    </row>
    <row r="29" spans="1:16" x14ac:dyDescent="0.25">
      <c r="B29" s="47" t="s">
        <v>162</v>
      </c>
      <c r="C29" s="47" t="s">
        <v>163</v>
      </c>
      <c r="D29" s="53" t="s">
        <v>135</v>
      </c>
      <c r="E29" s="49" t="s">
        <v>159</v>
      </c>
      <c r="F29" s="54">
        <v>0.06</v>
      </c>
      <c r="G29" s="51">
        <v>58.35</v>
      </c>
      <c r="H29" s="51">
        <f t="shared" si="2"/>
        <v>3.5009999999999999</v>
      </c>
    </row>
    <row r="30" spans="1:16" x14ac:dyDescent="0.25">
      <c r="B30" s="47" t="s">
        <v>164</v>
      </c>
      <c r="C30" s="47" t="s">
        <v>165</v>
      </c>
      <c r="D30" s="53" t="s">
        <v>135</v>
      </c>
      <c r="E30" s="49" t="s">
        <v>159</v>
      </c>
      <c r="F30" s="54">
        <v>0.02</v>
      </c>
      <c r="G30" s="51">
        <v>74.5</v>
      </c>
      <c r="H30" s="51">
        <f t="shared" si="2"/>
        <v>1.49</v>
      </c>
    </row>
    <row r="31" spans="1:16" x14ac:dyDescent="0.25">
      <c r="B31" s="47" t="s">
        <v>166</v>
      </c>
      <c r="C31" s="47" t="s">
        <v>167</v>
      </c>
      <c r="D31" s="53" t="s">
        <v>168</v>
      </c>
      <c r="E31" s="49" t="s">
        <v>159</v>
      </c>
      <c r="F31" s="54">
        <v>1.64</v>
      </c>
      <c r="G31" s="51">
        <f>9.39/20</f>
        <v>0.46950000000000003</v>
      </c>
      <c r="H31" s="51">
        <f t="shared" si="2"/>
        <v>0.76998</v>
      </c>
    </row>
    <row r="32" spans="1:16" x14ac:dyDescent="0.25">
      <c r="B32" s="47" t="s">
        <v>169</v>
      </c>
      <c r="C32" s="47" t="s">
        <v>170</v>
      </c>
      <c r="D32" s="53" t="s">
        <v>168</v>
      </c>
      <c r="E32" s="49" t="s">
        <v>159</v>
      </c>
      <c r="F32" s="54">
        <v>57.4</v>
      </c>
      <c r="G32" s="51">
        <v>0.53</v>
      </c>
      <c r="H32" s="51">
        <f t="shared" si="2"/>
        <v>30.422000000000001</v>
      </c>
    </row>
    <row r="33" spans="2:8" x14ac:dyDescent="0.25">
      <c r="B33" s="47" t="s">
        <v>171</v>
      </c>
      <c r="C33" s="47" t="s">
        <v>172</v>
      </c>
      <c r="D33" s="53" t="s">
        <v>173</v>
      </c>
      <c r="E33" s="49" t="s">
        <v>159</v>
      </c>
      <c r="F33" s="54">
        <v>0.18</v>
      </c>
      <c r="G33" s="51">
        <v>4.7</v>
      </c>
      <c r="H33" s="51">
        <f t="shared" si="2"/>
        <v>0.84599999999999997</v>
      </c>
    </row>
    <row r="34" spans="2:8" ht="30" x14ac:dyDescent="0.25">
      <c r="B34" s="47" t="s">
        <v>174</v>
      </c>
      <c r="C34" s="47" t="s">
        <v>175</v>
      </c>
      <c r="D34" s="53" t="s">
        <v>168</v>
      </c>
      <c r="E34" s="49" t="s">
        <v>159</v>
      </c>
      <c r="F34" s="54">
        <v>2.77</v>
      </c>
      <c r="G34" s="51">
        <v>5.09</v>
      </c>
      <c r="H34" s="51">
        <f t="shared" si="2"/>
        <v>14.099299999999999</v>
      </c>
    </row>
    <row r="35" spans="2:8" ht="30" x14ac:dyDescent="0.25">
      <c r="B35" s="47" t="s">
        <v>176</v>
      </c>
      <c r="C35" s="47" t="s">
        <v>177</v>
      </c>
      <c r="D35" s="53" t="s">
        <v>168</v>
      </c>
      <c r="E35" s="49" t="s">
        <v>159</v>
      </c>
      <c r="F35" s="54">
        <v>6.82</v>
      </c>
      <c r="G35" s="51">
        <v>4.5199999999999996</v>
      </c>
      <c r="H35" s="51">
        <f t="shared" si="2"/>
        <v>30.8264</v>
      </c>
    </row>
    <row r="36" spans="2:8" ht="30" x14ac:dyDescent="0.25">
      <c r="B36" s="47" t="s">
        <v>178</v>
      </c>
      <c r="C36" s="47" t="s">
        <v>179</v>
      </c>
      <c r="D36" s="53" t="s">
        <v>123</v>
      </c>
      <c r="E36" s="49" t="s">
        <v>159</v>
      </c>
      <c r="F36" s="54">
        <v>28</v>
      </c>
      <c r="G36" s="51">
        <v>1.54</v>
      </c>
      <c r="H36" s="51">
        <f t="shared" si="2"/>
        <v>43.120000000000005</v>
      </c>
    </row>
    <row r="37" spans="2:8" ht="30" x14ac:dyDescent="0.25">
      <c r="B37" s="53" t="s">
        <v>180</v>
      </c>
      <c r="C37" s="65" t="s">
        <v>181</v>
      </c>
      <c r="D37" s="53" t="s">
        <v>168</v>
      </c>
      <c r="E37" s="49" t="s">
        <v>159</v>
      </c>
      <c r="F37" s="54">
        <v>0.21</v>
      </c>
      <c r="G37" s="54">
        <v>10.050000000000001</v>
      </c>
      <c r="H37" s="51">
        <f>F37*G37</f>
        <v>2.1105</v>
      </c>
    </row>
    <row r="38" spans="2:8" x14ac:dyDescent="0.25">
      <c r="B38" s="47" t="s">
        <v>182</v>
      </c>
      <c r="C38" s="47" t="s">
        <v>183</v>
      </c>
      <c r="D38" s="53" t="s">
        <v>168</v>
      </c>
      <c r="E38" s="49" t="s">
        <v>159</v>
      </c>
      <c r="F38" s="54">
        <v>0.17</v>
      </c>
      <c r="G38" s="51">
        <v>12</v>
      </c>
      <c r="H38" s="51">
        <f t="shared" ref="H38:H41" si="3">F38*G38</f>
        <v>2.04</v>
      </c>
    </row>
    <row r="39" spans="2:8" ht="30" x14ac:dyDescent="0.25">
      <c r="B39" s="47" t="s">
        <v>184</v>
      </c>
      <c r="C39" s="47" t="s">
        <v>185</v>
      </c>
      <c r="D39" s="53" t="s">
        <v>143</v>
      </c>
      <c r="E39" s="49" t="s">
        <v>159</v>
      </c>
      <c r="F39" s="54">
        <v>3.21</v>
      </c>
      <c r="G39" s="51">
        <v>4.17</v>
      </c>
      <c r="H39" s="51">
        <f t="shared" si="3"/>
        <v>13.3857</v>
      </c>
    </row>
    <row r="40" spans="2:8" x14ac:dyDescent="0.25">
      <c r="B40" s="47" t="s">
        <v>186</v>
      </c>
      <c r="C40" s="47" t="s">
        <v>187</v>
      </c>
      <c r="D40" s="53" t="s">
        <v>143</v>
      </c>
      <c r="E40" s="49" t="s">
        <v>159</v>
      </c>
      <c r="F40" s="54">
        <v>1.64</v>
      </c>
      <c r="G40" s="51">
        <v>8.2100000000000009</v>
      </c>
      <c r="H40" s="51">
        <f t="shared" si="3"/>
        <v>13.464400000000001</v>
      </c>
    </row>
    <row r="41" spans="2:8" x14ac:dyDescent="0.25">
      <c r="B41" s="47" t="s">
        <v>188</v>
      </c>
      <c r="C41" s="47" t="s">
        <v>189</v>
      </c>
      <c r="D41" s="53" t="s">
        <v>143</v>
      </c>
      <c r="E41" s="49" t="s">
        <v>159</v>
      </c>
      <c r="F41" s="54">
        <v>3.04</v>
      </c>
      <c r="G41" s="51">
        <v>24.07</v>
      </c>
      <c r="H41" s="51">
        <f t="shared" si="3"/>
        <v>73.172799999999995</v>
      </c>
    </row>
    <row r="42" spans="2:8" x14ac:dyDescent="0.25">
      <c r="B42" s="52" t="s">
        <v>130</v>
      </c>
      <c r="C42" s="192" t="s">
        <v>131</v>
      </c>
      <c r="D42" s="192"/>
      <c r="E42" s="192"/>
      <c r="F42" s="192"/>
      <c r="G42" s="192"/>
      <c r="H42" s="192"/>
    </row>
    <row r="45" spans="2:8" ht="15.75" x14ac:dyDescent="0.25">
      <c r="B45" s="203" t="s">
        <v>190</v>
      </c>
      <c r="C45" s="203"/>
      <c r="D45" s="203"/>
      <c r="E45" s="203"/>
      <c r="F45" s="203"/>
      <c r="G45" s="203"/>
      <c r="H45" s="203"/>
    </row>
    <row r="46" spans="2:8" x14ac:dyDescent="0.25">
      <c r="B46" s="38" t="s">
        <v>121</v>
      </c>
      <c r="C46" s="39" t="s">
        <v>122</v>
      </c>
      <c r="D46" s="38" t="s">
        <v>123</v>
      </c>
      <c r="E46" s="38" t="s">
        <v>124</v>
      </c>
      <c r="F46" s="40" t="s">
        <v>125</v>
      </c>
      <c r="G46" s="40" t="s">
        <v>126</v>
      </c>
      <c r="H46" s="41" t="s">
        <v>127</v>
      </c>
    </row>
    <row r="47" spans="2:8" ht="30" x14ac:dyDescent="0.25">
      <c r="B47" s="66">
        <v>3110855</v>
      </c>
      <c r="C47" s="43" t="s">
        <v>191</v>
      </c>
      <c r="D47" s="44" t="s">
        <v>117</v>
      </c>
      <c r="E47" s="38" t="s">
        <v>128</v>
      </c>
      <c r="F47" s="38"/>
      <c r="G47" s="40"/>
      <c r="H47" s="45">
        <f>SUM(H48:H50)+SUM(H54:H59)</f>
        <v>16.423750599999998</v>
      </c>
    </row>
    <row r="48" spans="2:8" x14ac:dyDescent="0.25">
      <c r="B48" s="53" t="s">
        <v>192</v>
      </c>
      <c r="C48" s="65" t="s">
        <v>193</v>
      </c>
      <c r="D48" s="53" t="s">
        <v>117</v>
      </c>
      <c r="E48" s="49" t="s">
        <v>128</v>
      </c>
      <c r="F48" s="54">
        <v>8.3000000000000004E-2</v>
      </c>
      <c r="G48" s="54"/>
      <c r="H48" s="51">
        <f>F48*G48</f>
        <v>0</v>
      </c>
    </row>
    <row r="49" spans="1:8" x14ac:dyDescent="0.25">
      <c r="B49" s="47" t="s">
        <v>194</v>
      </c>
      <c r="C49" s="47" t="s">
        <v>195</v>
      </c>
      <c r="D49" s="53" t="s">
        <v>117</v>
      </c>
      <c r="E49" s="49" t="s">
        <v>128</v>
      </c>
      <c r="F49" s="54">
        <v>1</v>
      </c>
      <c r="G49" s="51"/>
      <c r="H49" s="51">
        <f t="shared" ref="H49:H55" si="4">F49*G49</f>
        <v>0</v>
      </c>
    </row>
    <row r="50" spans="1:8" x14ac:dyDescent="0.25">
      <c r="B50" s="47" t="s">
        <v>196</v>
      </c>
      <c r="C50" s="37" t="s">
        <v>197</v>
      </c>
      <c r="D50" s="53" t="s">
        <v>117</v>
      </c>
      <c r="E50" s="49" t="s">
        <v>128</v>
      </c>
      <c r="F50" s="54">
        <v>1</v>
      </c>
      <c r="G50" s="51"/>
      <c r="H50" s="51">
        <f t="shared" si="4"/>
        <v>0</v>
      </c>
    </row>
    <row r="51" spans="1:8" ht="10.5" customHeight="1" x14ac:dyDescent="0.25">
      <c r="B51" s="47"/>
      <c r="C51" s="47"/>
      <c r="D51" s="53"/>
      <c r="E51" s="49"/>
      <c r="F51" s="54"/>
      <c r="G51" s="51"/>
      <c r="H51" s="51"/>
    </row>
    <row r="52" spans="1:8" x14ac:dyDescent="0.25">
      <c r="B52" s="67" t="s">
        <v>198</v>
      </c>
      <c r="C52" s="47" t="s">
        <v>199</v>
      </c>
      <c r="D52" s="53" t="s">
        <v>138</v>
      </c>
      <c r="E52" s="49" t="s">
        <v>139</v>
      </c>
      <c r="F52" s="49">
        <v>0.13100000000000001</v>
      </c>
      <c r="G52" s="51">
        <v>5.13</v>
      </c>
      <c r="H52" s="51">
        <f t="shared" si="4"/>
        <v>0.67203000000000002</v>
      </c>
    </row>
    <row r="53" spans="1:8" x14ac:dyDescent="0.25">
      <c r="B53" s="47" t="s">
        <v>148</v>
      </c>
      <c r="C53" s="47" t="s">
        <v>200</v>
      </c>
      <c r="D53" s="53" t="s">
        <v>138</v>
      </c>
      <c r="E53" s="49" t="s">
        <v>139</v>
      </c>
      <c r="F53" s="49">
        <v>0.52400000000000002</v>
      </c>
      <c r="G53" s="51">
        <v>8.24</v>
      </c>
      <c r="H53" s="51">
        <f t="shared" si="4"/>
        <v>4.3177600000000007</v>
      </c>
    </row>
    <row r="54" spans="1:8" x14ac:dyDescent="0.25">
      <c r="A54" s="59"/>
      <c r="B54" s="47"/>
      <c r="C54" s="60" t="s">
        <v>155</v>
      </c>
      <c r="D54" s="61" t="s">
        <v>156</v>
      </c>
      <c r="E54" s="38" t="s">
        <v>139</v>
      </c>
      <c r="F54" s="62">
        <v>1.1399999999999999</v>
      </c>
      <c r="G54" s="63"/>
      <c r="H54" s="63">
        <f>(SUM(H52:H53))*(1+F54)</f>
        <v>10.6781506</v>
      </c>
    </row>
    <row r="55" spans="1:8" x14ac:dyDescent="0.25">
      <c r="B55" s="47" t="s">
        <v>201</v>
      </c>
      <c r="C55" s="47" t="s">
        <v>202</v>
      </c>
      <c r="D55" s="53" t="s">
        <v>117</v>
      </c>
      <c r="E55" s="49" t="s">
        <v>159</v>
      </c>
      <c r="F55" s="49">
        <v>0.104</v>
      </c>
      <c r="G55" s="51">
        <v>30.54</v>
      </c>
      <c r="H55" s="51">
        <f t="shared" si="4"/>
        <v>3.1761599999999999</v>
      </c>
    </row>
    <row r="56" spans="1:8" x14ac:dyDescent="0.25">
      <c r="B56" s="53" t="s">
        <v>203</v>
      </c>
      <c r="C56" s="65" t="s">
        <v>204</v>
      </c>
      <c r="D56" s="53" t="s">
        <v>143</v>
      </c>
      <c r="E56" s="49" t="s">
        <v>159</v>
      </c>
      <c r="F56" s="49">
        <v>0.216</v>
      </c>
      <c r="G56" s="54">
        <v>4.17</v>
      </c>
      <c r="H56" s="51">
        <f>F56*G56</f>
        <v>0.90071999999999997</v>
      </c>
    </row>
    <row r="57" spans="1:8" x14ac:dyDescent="0.25">
      <c r="B57" s="47" t="s">
        <v>205</v>
      </c>
      <c r="C57" s="47" t="s">
        <v>206</v>
      </c>
      <c r="D57" s="53" t="s">
        <v>143</v>
      </c>
      <c r="E57" s="49" t="s">
        <v>159</v>
      </c>
      <c r="F57" s="49">
        <v>0.108</v>
      </c>
      <c r="G57" s="51">
        <v>9.34</v>
      </c>
      <c r="H57" s="51">
        <f t="shared" ref="H57:H59" si="5">F57*G57</f>
        <v>1.0087200000000001</v>
      </c>
    </row>
    <row r="58" spans="1:8" x14ac:dyDescent="0.25">
      <c r="B58" s="47" t="s">
        <v>207</v>
      </c>
      <c r="C58" s="47" t="s">
        <v>172</v>
      </c>
      <c r="D58" s="53" t="s">
        <v>173</v>
      </c>
      <c r="E58" s="49" t="s">
        <v>159</v>
      </c>
      <c r="F58" s="49">
        <v>0.02</v>
      </c>
      <c r="G58" s="51">
        <v>4.7</v>
      </c>
      <c r="H58" s="51">
        <f t="shared" si="5"/>
        <v>9.4E-2</v>
      </c>
    </row>
    <row r="59" spans="1:8" x14ac:dyDescent="0.25">
      <c r="B59" s="47" t="s">
        <v>208</v>
      </c>
      <c r="C59" s="47" t="s">
        <v>209</v>
      </c>
      <c r="D59" s="53" t="s">
        <v>168</v>
      </c>
      <c r="E59" s="49" t="s">
        <v>159</v>
      </c>
      <c r="F59" s="49">
        <v>0.05</v>
      </c>
      <c r="G59" s="51">
        <v>11.32</v>
      </c>
      <c r="H59" s="51">
        <f t="shared" si="5"/>
        <v>0.56600000000000006</v>
      </c>
    </row>
    <row r="60" spans="1:8" x14ac:dyDescent="0.25">
      <c r="B60" s="52" t="s">
        <v>130</v>
      </c>
      <c r="C60" s="192" t="s">
        <v>131</v>
      </c>
      <c r="D60" s="192"/>
      <c r="E60" s="192"/>
      <c r="F60" s="192"/>
      <c r="G60" s="192"/>
      <c r="H60" s="192"/>
    </row>
    <row r="63" spans="1:8" ht="15.75" x14ac:dyDescent="0.25">
      <c r="B63" s="191" t="s">
        <v>210</v>
      </c>
      <c r="C63" s="191"/>
      <c r="D63" s="191"/>
      <c r="E63" s="191"/>
      <c r="F63" s="191"/>
      <c r="G63" s="191"/>
      <c r="H63" s="191"/>
    </row>
    <row r="64" spans="1:8" x14ac:dyDescent="0.25">
      <c r="B64" s="38" t="s">
        <v>121</v>
      </c>
      <c r="C64" s="39" t="s">
        <v>122</v>
      </c>
      <c r="D64" s="38" t="s">
        <v>123</v>
      </c>
      <c r="E64" s="38" t="s">
        <v>124</v>
      </c>
      <c r="F64" s="40" t="s">
        <v>125</v>
      </c>
      <c r="G64" s="40" t="s">
        <v>126</v>
      </c>
      <c r="H64" s="41" t="s">
        <v>127</v>
      </c>
    </row>
    <row r="65" spans="1:12" x14ac:dyDescent="0.25">
      <c r="B65" s="42" t="s">
        <v>211</v>
      </c>
      <c r="C65" s="43" t="s">
        <v>212</v>
      </c>
      <c r="D65" s="44" t="s">
        <v>168</v>
      </c>
      <c r="E65" s="38" t="s">
        <v>128</v>
      </c>
      <c r="F65" s="40"/>
      <c r="G65" s="40"/>
      <c r="H65" s="45">
        <f>SUM(H68:H70)</f>
        <v>6.2079486486486486</v>
      </c>
    </row>
    <row r="66" spans="1:12" ht="33" customHeight="1" x14ac:dyDescent="0.25">
      <c r="B66" s="53" t="s">
        <v>144</v>
      </c>
      <c r="C66" s="50" t="s">
        <v>213</v>
      </c>
      <c r="D66" s="53" t="s">
        <v>138</v>
      </c>
      <c r="E66" s="49" t="s">
        <v>139</v>
      </c>
      <c r="F66" s="54">
        <v>0.04</v>
      </c>
      <c r="G66" s="54">
        <v>5.13</v>
      </c>
      <c r="H66" s="51">
        <f>F66*G66</f>
        <v>0.20519999999999999</v>
      </c>
    </row>
    <row r="67" spans="1:12" x14ac:dyDescent="0.25">
      <c r="B67" s="47" t="s">
        <v>214</v>
      </c>
      <c r="C67" s="47" t="s">
        <v>215</v>
      </c>
      <c r="D67" s="53" t="s">
        <v>138</v>
      </c>
      <c r="E67" s="49" t="s">
        <v>139</v>
      </c>
      <c r="F67" s="54">
        <v>0.02</v>
      </c>
      <c r="G67" s="51">
        <v>8.24</v>
      </c>
      <c r="H67" s="51">
        <f t="shared" ref="H67:H70" si="6">F67*G67</f>
        <v>0.1648</v>
      </c>
    </row>
    <row r="68" spans="1:12" x14ac:dyDescent="0.25">
      <c r="A68" s="59"/>
      <c r="B68" s="47"/>
      <c r="C68" s="60" t="s">
        <v>155</v>
      </c>
      <c r="D68" s="61" t="s">
        <v>156</v>
      </c>
      <c r="E68" s="38" t="s">
        <v>139</v>
      </c>
      <c r="F68" s="62">
        <v>1.1399999999999999</v>
      </c>
      <c r="G68" s="63"/>
      <c r="H68" s="63">
        <f>(SUM(H66:H67))*(1+F68)</f>
        <v>0.79179999999999984</v>
      </c>
    </row>
    <row r="69" spans="1:12" ht="45" x14ac:dyDescent="0.25">
      <c r="B69" s="47" t="s">
        <v>216</v>
      </c>
      <c r="C69" s="47" t="s">
        <v>217</v>
      </c>
      <c r="D69" s="53" t="s">
        <v>168</v>
      </c>
      <c r="E69" s="49" t="s">
        <v>159</v>
      </c>
      <c r="F69" s="54">
        <v>1.03</v>
      </c>
      <c r="G69" s="51">
        <f>7.61/1.48</f>
        <v>5.1418918918918921</v>
      </c>
      <c r="H69" s="51">
        <f>F69*G69</f>
        <v>5.2961486486486491</v>
      </c>
      <c r="L69">
        <f t="shared" ref="L69" si="7">1/1.48</f>
        <v>0.67567567567567566</v>
      </c>
    </row>
    <row r="70" spans="1:12" x14ac:dyDescent="0.25">
      <c r="B70" s="47" t="s">
        <v>182</v>
      </c>
      <c r="C70" s="47" t="s">
        <v>218</v>
      </c>
      <c r="D70" s="53" t="s">
        <v>168</v>
      </c>
      <c r="E70" s="49" t="s">
        <v>159</v>
      </c>
      <c r="F70" s="54">
        <v>0.01</v>
      </c>
      <c r="G70" s="51">
        <v>12</v>
      </c>
      <c r="H70" s="51">
        <f t="shared" si="6"/>
        <v>0.12</v>
      </c>
    </row>
    <row r="71" spans="1:12" x14ac:dyDescent="0.25">
      <c r="B71" s="52" t="s">
        <v>130</v>
      </c>
      <c r="C71" s="192" t="s">
        <v>131</v>
      </c>
      <c r="D71" s="192"/>
      <c r="E71" s="192"/>
      <c r="F71" s="192"/>
      <c r="G71" s="192"/>
      <c r="H71" s="192"/>
    </row>
    <row r="74" spans="1:12" ht="15.75" x14ac:dyDescent="0.25">
      <c r="B74" s="203" t="s">
        <v>219</v>
      </c>
      <c r="C74" s="203"/>
      <c r="D74" s="203"/>
      <c r="E74" s="203"/>
      <c r="F74" s="203"/>
      <c r="G74" s="203"/>
      <c r="H74" s="203"/>
    </row>
    <row r="75" spans="1:12" x14ac:dyDescent="0.25">
      <c r="B75" s="38" t="s">
        <v>121</v>
      </c>
      <c r="C75" s="39" t="s">
        <v>122</v>
      </c>
      <c r="D75" s="38" t="s">
        <v>123</v>
      </c>
      <c r="E75" s="38" t="s">
        <v>124</v>
      </c>
      <c r="F75" s="40" t="s">
        <v>125</v>
      </c>
      <c r="G75" s="40" t="s">
        <v>126</v>
      </c>
      <c r="H75" s="41" t="s">
        <v>127</v>
      </c>
    </row>
    <row r="76" spans="1:12" ht="30" x14ac:dyDescent="0.25">
      <c r="B76" s="42" t="s">
        <v>220</v>
      </c>
      <c r="C76" s="43" t="s">
        <v>221</v>
      </c>
      <c r="D76" s="44" t="s">
        <v>135</v>
      </c>
      <c r="E76" s="38" t="s">
        <v>128</v>
      </c>
      <c r="F76" s="40"/>
      <c r="G76" s="40"/>
      <c r="H76" s="45">
        <f>SUM(H77:H77)</f>
        <v>372.87600000000003</v>
      </c>
    </row>
    <row r="77" spans="1:12" ht="33" customHeight="1" x14ac:dyDescent="0.25">
      <c r="B77" s="53"/>
      <c r="C77" s="50"/>
      <c r="D77" s="53"/>
      <c r="E77" s="49"/>
      <c r="F77">
        <v>1.05</v>
      </c>
      <c r="G77" s="54">
        <v>355.12</v>
      </c>
      <c r="H77" s="51">
        <f>F77*G77</f>
        <v>372.87600000000003</v>
      </c>
    </row>
    <row r="78" spans="1:12" x14ac:dyDescent="0.25">
      <c r="B78" s="52" t="s">
        <v>130</v>
      </c>
      <c r="C78" s="192" t="s">
        <v>131</v>
      </c>
      <c r="D78" s="192"/>
      <c r="E78" s="192"/>
      <c r="F78" s="192"/>
      <c r="G78" s="192"/>
      <c r="H78" s="192"/>
    </row>
    <row r="81" spans="1:8" ht="15.75" x14ac:dyDescent="0.25">
      <c r="B81" s="203" t="s">
        <v>222</v>
      </c>
      <c r="C81" s="203"/>
      <c r="D81" s="203"/>
      <c r="E81" s="203"/>
      <c r="F81" s="203"/>
      <c r="G81" s="203"/>
      <c r="H81" s="203"/>
    </row>
    <row r="82" spans="1:8" x14ac:dyDescent="0.25">
      <c r="B82" s="38" t="s">
        <v>121</v>
      </c>
      <c r="C82" s="39" t="s">
        <v>122</v>
      </c>
      <c r="D82" s="38" t="s">
        <v>123</v>
      </c>
      <c r="E82" s="38" t="s">
        <v>124</v>
      </c>
      <c r="F82" s="40" t="s">
        <v>125</v>
      </c>
      <c r="G82" s="40" t="s">
        <v>126</v>
      </c>
      <c r="H82" s="41" t="s">
        <v>127</v>
      </c>
    </row>
    <row r="83" spans="1:8" ht="30" x14ac:dyDescent="0.25">
      <c r="B83" s="42" t="s">
        <v>223</v>
      </c>
      <c r="C83" s="43" t="s">
        <v>224</v>
      </c>
      <c r="D83" s="44" t="s">
        <v>135</v>
      </c>
      <c r="E83" s="38" t="s">
        <v>128</v>
      </c>
      <c r="F83" s="40"/>
      <c r="G83" s="40"/>
      <c r="H83" s="45">
        <f>SUM(H86:H87)</f>
        <v>60.546639999999996</v>
      </c>
    </row>
    <row r="84" spans="1:8" x14ac:dyDescent="0.25">
      <c r="B84" s="53" t="s">
        <v>225</v>
      </c>
      <c r="C84" s="47" t="s">
        <v>153</v>
      </c>
      <c r="D84" s="49" t="s">
        <v>138</v>
      </c>
      <c r="E84" s="49" t="s">
        <v>139</v>
      </c>
      <c r="F84" s="49">
        <v>1.65</v>
      </c>
      <c r="G84" s="88">
        <v>8.24</v>
      </c>
      <c r="H84" s="51">
        <f t="shared" ref="H84:H85" si="8">F84*G84</f>
        <v>13.596</v>
      </c>
    </row>
    <row r="85" spans="1:8" x14ac:dyDescent="0.25">
      <c r="B85" s="53" t="s">
        <v>154</v>
      </c>
      <c r="C85" s="47" t="s">
        <v>226</v>
      </c>
      <c r="D85" s="49" t="s">
        <v>138</v>
      </c>
      <c r="E85" s="49" t="s">
        <v>139</v>
      </c>
      <c r="F85" s="54">
        <v>3</v>
      </c>
      <c r="G85" s="88">
        <v>4.8600000000000003</v>
      </c>
      <c r="H85" s="51">
        <f t="shared" si="8"/>
        <v>14.580000000000002</v>
      </c>
    </row>
    <row r="86" spans="1:8" x14ac:dyDescent="0.25">
      <c r="A86" s="59"/>
      <c r="B86" s="47"/>
      <c r="C86" s="43" t="s">
        <v>155</v>
      </c>
      <c r="D86" s="61" t="s">
        <v>156</v>
      </c>
      <c r="E86" s="38" t="s">
        <v>139</v>
      </c>
      <c r="F86" s="62">
        <v>1.1399999999999999</v>
      </c>
      <c r="G86" s="63"/>
      <c r="H86" s="63">
        <f>(SUM(H84:H85))*(1+F86)</f>
        <v>60.296639999999996</v>
      </c>
    </row>
    <row r="87" spans="1:8" ht="33" customHeight="1" x14ac:dyDescent="0.25">
      <c r="B87" s="53" t="s">
        <v>1007</v>
      </c>
      <c r="C87" s="65" t="s">
        <v>227</v>
      </c>
      <c r="D87" s="49" t="s">
        <v>228</v>
      </c>
      <c r="E87" s="49" t="s">
        <v>129</v>
      </c>
      <c r="F87" s="49">
        <v>0.2</v>
      </c>
      <c r="G87" s="54">
        <v>1.25</v>
      </c>
      <c r="H87" s="51">
        <f>F87*G87</f>
        <v>0.25</v>
      </c>
    </row>
    <row r="88" spans="1:8" x14ac:dyDescent="0.25">
      <c r="B88" s="52" t="s">
        <v>130</v>
      </c>
      <c r="C88" s="192" t="s">
        <v>131</v>
      </c>
      <c r="D88" s="192"/>
      <c r="E88" s="192"/>
      <c r="F88" s="192"/>
      <c r="G88" s="192"/>
      <c r="H88" s="192"/>
    </row>
    <row r="91" spans="1:8" ht="15.75" x14ac:dyDescent="0.25">
      <c r="B91" s="203" t="s">
        <v>229</v>
      </c>
      <c r="C91" s="203"/>
      <c r="D91" s="203"/>
      <c r="E91" s="203"/>
      <c r="F91" s="203"/>
      <c r="G91" s="203"/>
      <c r="H91" s="203"/>
    </row>
    <row r="92" spans="1:8" x14ac:dyDescent="0.25">
      <c r="B92" s="38" t="s">
        <v>121</v>
      </c>
      <c r="C92" s="39" t="s">
        <v>122</v>
      </c>
      <c r="D92" s="38" t="s">
        <v>123</v>
      </c>
      <c r="E92" s="38" t="s">
        <v>124</v>
      </c>
      <c r="F92" s="40" t="s">
        <v>125</v>
      </c>
      <c r="G92" s="40" t="s">
        <v>126</v>
      </c>
      <c r="H92" s="41" t="s">
        <v>127</v>
      </c>
    </row>
    <row r="93" spans="1:8" x14ac:dyDescent="0.25">
      <c r="B93" s="42"/>
      <c r="C93" s="43"/>
      <c r="D93" s="44"/>
      <c r="E93" s="38"/>
      <c r="F93" s="40"/>
      <c r="G93" s="40"/>
      <c r="H93" s="45">
        <f>SUM(H94:H96)</f>
        <v>0</v>
      </c>
    </row>
    <row r="94" spans="1:8" x14ac:dyDescent="0.25">
      <c r="B94" s="53"/>
      <c r="C94" s="47"/>
      <c r="D94" s="49"/>
      <c r="E94" s="49"/>
      <c r="F94" s="49"/>
      <c r="G94" s="40"/>
      <c r="H94" s="51">
        <f t="shared" ref="H94:H95" si="9">F94*G94</f>
        <v>0</v>
      </c>
    </row>
    <row r="95" spans="1:8" x14ac:dyDescent="0.25">
      <c r="B95" s="53"/>
      <c r="C95" s="47"/>
      <c r="D95" s="49"/>
      <c r="E95" s="49"/>
      <c r="F95" s="54"/>
      <c r="G95" s="40"/>
      <c r="H95" s="51">
        <f t="shared" si="9"/>
        <v>0</v>
      </c>
    </row>
    <row r="96" spans="1:8" ht="33" customHeight="1" x14ac:dyDescent="0.25">
      <c r="B96" s="53"/>
      <c r="C96" s="65"/>
      <c r="D96" s="49"/>
      <c r="E96" s="49"/>
      <c r="F96" s="49"/>
      <c r="G96" s="54"/>
      <c r="H96" s="51">
        <f>F96*G96</f>
        <v>0</v>
      </c>
    </row>
    <row r="97" spans="1:8" x14ac:dyDescent="0.25">
      <c r="B97" s="52" t="s">
        <v>130</v>
      </c>
      <c r="C97" s="192"/>
      <c r="D97" s="192"/>
      <c r="E97" s="192"/>
      <c r="F97" s="192"/>
      <c r="G97" s="192"/>
      <c r="H97" s="192"/>
    </row>
    <row r="100" spans="1:8" ht="15.75" x14ac:dyDescent="0.25">
      <c r="B100" s="191" t="s">
        <v>230</v>
      </c>
      <c r="C100" s="191"/>
      <c r="D100" s="191"/>
      <c r="E100" s="191"/>
      <c r="F100" s="191"/>
      <c r="G100" s="191"/>
      <c r="H100" s="191"/>
    </row>
    <row r="101" spans="1:8" x14ac:dyDescent="0.25">
      <c r="B101" s="38" t="s">
        <v>121</v>
      </c>
      <c r="C101" s="39" t="s">
        <v>122</v>
      </c>
      <c r="D101" s="38" t="s">
        <v>123</v>
      </c>
      <c r="E101" s="38" t="s">
        <v>124</v>
      </c>
      <c r="F101" s="40" t="s">
        <v>125</v>
      </c>
      <c r="G101" s="40" t="s">
        <v>126</v>
      </c>
      <c r="H101" s="41" t="s">
        <v>127</v>
      </c>
    </row>
    <row r="102" spans="1:8" ht="30" x14ac:dyDescent="0.25">
      <c r="B102" s="42"/>
      <c r="C102" s="43" t="s">
        <v>231</v>
      </c>
      <c r="D102" s="44" t="s">
        <v>117</v>
      </c>
      <c r="E102" s="38" t="s">
        <v>128</v>
      </c>
      <c r="F102" s="40"/>
      <c r="G102" s="40"/>
      <c r="H102" s="45">
        <f>SUM(H105:H107)</f>
        <v>16.828279719999998</v>
      </c>
    </row>
    <row r="103" spans="1:8" x14ac:dyDescent="0.25">
      <c r="B103" s="46" t="s">
        <v>655</v>
      </c>
      <c r="C103" s="47" t="s">
        <v>964</v>
      </c>
      <c r="D103" s="68" t="s">
        <v>138</v>
      </c>
      <c r="E103" s="49" t="s">
        <v>139</v>
      </c>
      <c r="F103" s="50">
        <v>0.50660000000000005</v>
      </c>
      <c r="G103" s="51">
        <v>8.24</v>
      </c>
      <c r="H103" s="51">
        <f>F103*G103</f>
        <v>4.1743840000000008</v>
      </c>
    </row>
    <row r="104" spans="1:8" x14ac:dyDescent="0.25">
      <c r="B104" s="46" t="s">
        <v>656</v>
      </c>
      <c r="C104" s="47" t="s">
        <v>226</v>
      </c>
      <c r="D104" s="69" t="s">
        <v>138</v>
      </c>
      <c r="E104" s="49" t="s">
        <v>139</v>
      </c>
      <c r="F104" s="49">
        <v>0.3649</v>
      </c>
      <c r="G104" s="51">
        <v>4.8600000000000003</v>
      </c>
      <c r="H104" s="51">
        <f>F104*G104</f>
        <v>1.773414</v>
      </c>
    </row>
    <row r="105" spans="1:8" x14ac:dyDescent="0.25">
      <c r="A105" s="59"/>
      <c r="B105" s="47"/>
      <c r="C105" s="43" t="s">
        <v>155</v>
      </c>
      <c r="D105" s="61" t="s">
        <v>156</v>
      </c>
      <c r="E105" s="38" t="s">
        <v>139</v>
      </c>
      <c r="F105" s="62">
        <v>1.1399999999999999</v>
      </c>
      <c r="G105" s="63"/>
      <c r="H105" s="63">
        <f>(SUM(H103:H104))*(1+F105)</f>
        <v>12.728287719999999</v>
      </c>
    </row>
    <row r="106" spans="1:8" x14ac:dyDescent="0.25">
      <c r="B106" s="46" t="s">
        <v>657</v>
      </c>
      <c r="C106" s="47" t="s">
        <v>658</v>
      </c>
      <c r="D106" s="69" t="s">
        <v>173</v>
      </c>
      <c r="E106" s="49" t="s">
        <v>159</v>
      </c>
      <c r="F106" s="49">
        <v>3.3300000000000003E-2</v>
      </c>
      <c r="G106" s="51">
        <v>11.64</v>
      </c>
      <c r="H106" s="51">
        <f t="shared" ref="H106:H107" si="10">F106*G106</f>
        <v>0.38761200000000007</v>
      </c>
    </row>
    <row r="107" spans="1:8" ht="45" x14ac:dyDescent="0.25">
      <c r="B107" s="46" t="s">
        <v>659</v>
      </c>
      <c r="C107" s="47" t="s">
        <v>660</v>
      </c>
      <c r="D107" s="69" t="s">
        <v>117</v>
      </c>
      <c r="E107" s="49" t="s">
        <v>159</v>
      </c>
      <c r="F107" s="49">
        <v>2.8E-3</v>
      </c>
      <c r="G107" s="51">
        <v>1325.85</v>
      </c>
      <c r="H107" s="51">
        <f t="shared" si="10"/>
        <v>3.7123799999999996</v>
      </c>
    </row>
    <row r="108" spans="1:8" x14ac:dyDescent="0.25">
      <c r="B108" s="52" t="s">
        <v>130</v>
      </c>
      <c r="C108" s="192" t="s">
        <v>232</v>
      </c>
      <c r="D108" s="192"/>
      <c r="E108" s="192"/>
      <c r="F108" s="192"/>
      <c r="G108" s="192"/>
      <c r="H108" s="192"/>
    </row>
    <row r="111" spans="1:8" ht="15.75" x14ac:dyDescent="0.25">
      <c r="B111" s="191" t="s">
        <v>233</v>
      </c>
      <c r="C111" s="191"/>
      <c r="D111" s="191"/>
      <c r="E111" s="191"/>
      <c r="F111" s="191"/>
      <c r="G111" s="191"/>
      <c r="H111" s="191"/>
    </row>
    <row r="112" spans="1:8" x14ac:dyDescent="0.25">
      <c r="B112" s="38" t="s">
        <v>121</v>
      </c>
      <c r="C112" s="39" t="s">
        <v>122</v>
      </c>
      <c r="D112" s="38" t="s">
        <v>123</v>
      </c>
      <c r="E112" s="38" t="s">
        <v>124</v>
      </c>
      <c r="F112" s="40" t="s">
        <v>125</v>
      </c>
      <c r="G112" s="40" t="s">
        <v>126</v>
      </c>
      <c r="H112" s="41" t="s">
        <v>127</v>
      </c>
    </row>
    <row r="113" spans="1:8" ht="30" x14ac:dyDescent="0.25">
      <c r="B113" s="42" t="s">
        <v>234</v>
      </c>
      <c r="C113" s="43" t="s">
        <v>661</v>
      </c>
      <c r="D113" s="44" t="s">
        <v>168</v>
      </c>
      <c r="E113" s="38" t="s">
        <v>128</v>
      </c>
      <c r="F113" s="40"/>
      <c r="G113" s="40"/>
      <c r="H113" s="45">
        <f>SUM(H116:H119)</f>
        <v>4.6077795999999998</v>
      </c>
    </row>
    <row r="114" spans="1:8" x14ac:dyDescent="0.25">
      <c r="B114" s="46" t="s">
        <v>662</v>
      </c>
      <c r="C114" s="47" t="s">
        <v>145</v>
      </c>
      <c r="D114" s="50" t="s">
        <v>138</v>
      </c>
      <c r="E114" s="49" t="s">
        <v>139</v>
      </c>
      <c r="F114" s="50">
        <v>6.0000000000000001E-3</v>
      </c>
      <c r="G114" s="51">
        <v>5.13</v>
      </c>
      <c r="H114" s="51">
        <f>F114*G114</f>
        <v>3.0779999999999998E-2</v>
      </c>
    </row>
    <row r="115" spans="1:8" x14ac:dyDescent="0.25">
      <c r="B115" s="46" t="s">
        <v>235</v>
      </c>
      <c r="C115" s="47" t="s">
        <v>215</v>
      </c>
      <c r="D115" s="69" t="s">
        <v>138</v>
      </c>
      <c r="E115" s="49" t="s">
        <v>139</v>
      </c>
      <c r="F115" s="70">
        <v>3.9E-2</v>
      </c>
      <c r="G115" s="51">
        <v>8.24</v>
      </c>
      <c r="H115" s="51">
        <f>F115*G115</f>
        <v>0.32136000000000003</v>
      </c>
    </row>
    <row r="116" spans="1:8" x14ac:dyDescent="0.25">
      <c r="A116" s="59"/>
      <c r="B116" s="47"/>
      <c r="C116" s="43" t="s">
        <v>155</v>
      </c>
      <c r="D116" s="61" t="s">
        <v>156</v>
      </c>
      <c r="E116" s="38" t="s">
        <v>139</v>
      </c>
      <c r="F116" s="62">
        <v>1.1399999999999999</v>
      </c>
      <c r="G116" s="63"/>
      <c r="H116" s="63">
        <f>(SUM(H114:H115))*(1+F116)</f>
        <v>0.75357959999999991</v>
      </c>
    </row>
    <row r="117" spans="1:8" x14ac:dyDescent="0.25">
      <c r="B117" s="46" t="s">
        <v>236</v>
      </c>
      <c r="C117" s="47" t="s">
        <v>237</v>
      </c>
      <c r="D117" s="69" t="s">
        <v>168</v>
      </c>
      <c r="E117" s="49" t="s">
        <v>159</v>
      </c>
      <c r="F117" s="71">
        <v>1.0500000000000001E-2</v>
      </c>
      <c r="G117" s="51">
        <v>12</v>
      </c>
      <c r="H117" s="51">
        <f t="shared" ref="H117:H119" si="11">F117*G117</f>
        <v>0.126</v>
      </c>
    </row>
    <row r="118" spans="1:8" ht="30" x14ac:dyDescent="0.25">
      <c r="B118" s="46" t="s">
        <v>238</v>
      </c>
      <c r="C118" s="47" t="s">
        <v>239</v>
      </c>
      <c r="D118" s="69" t="s">
        <v>117</v>
      </c>
      <c r="E118" s="49" t="s">
        <v>159</v>
      </c>
      <c r="F118" s="70">
        <v>0.499</v>
      </c>
      <c r="G118" s="51">
        <v>7.32</v>
      </c>
      <c r="H118" s="51">
        <f t="shared" si="11"/>
        <v>3.6526800000000001</v>
      </c>
    </row>
    <row r="119" spans="1:8" ht="30" x14ac:dyDescent="0.25">
      <c r="B119" s="46" t="s">
        <v>240</v>
      </c>
      <c r="C119" s="47" t="s">
        <v>241</v>
      </c>
      <c r="D119" s="69" t="s">
        <v>123</v>
      </c>
      <c r="E119" s="49" t="s">
        <v>159</v>
      </c>
      <c r="F119" s="70">
        <v>0.47199999999999998</v>
      </c>
      <c r="G119" s="51">
        <v>0.16</v>
      </c>
      <c r="H119" s="51">
        <f t="shared" si="11"/>
        <v>7.5520000000000004E-2</v>
      </c>
    </row>
    <row r="120" spans="1:8" x14ac:dyDescent="0.25">
      <c r="B120" s="52" t="s">
        <v>130</v>
      </c>
      <c r="C120" s="192" t="s">
        <v>232</v>
      </c>
      <c r="D120" s="192"/>
      <c r="E120" s="192"/>
      <c r="F120" s="192"/>
      <c r="G120" s="192"/>
      <c r="H120" s="192"/>
    </row>
    <row r="123" spans="1:8" ht="15.75" x14ac:dyDescent="0.25">
      <c r="B123" s="191" t="s">
        <v>242</v>
      </c>
      <c r="C123" s="191"/>
      <c r="D123" s="191"/>
      <c r="E123" s="191"/>
      <c r="F123" s="191"/>
      <c r="G123" s="191"/>
      <c r="H123" s="191"/>
    </row>
    <row r="124" spans="1:8" x14ac:dyDescent="0.25">
      <c r="B124" s="38" t="s">
        <v>121</v>
      </c>
      <c r="C124" s="39" t="s">
        <v>122</v>
      </c>
      <c r="D124" s="38" t="s">
        <v>123</v>
      </c>
      <c r="E124" s="38" t="s">
        <v>124</v>
      </c>
      <c r="F124" s="40" t="s">
        <v>125</v>
      </c>
      <c r="G124" s="40" t="s">
        <v>126</v>
      </c>
      <c r="H124" s="41" t="s">
        <v>127</v>
      </c>
    </row>
    <row r="125" spans="1:8" ht="30" x14ac:dyDescent="0.25">
      <c r="B125" s="42" t="s">
        <v>243</v>
      </c>
      <c r="C125" s="43" t="s">
        <v>244</v>
      </c>
      <c r="D125" s="44" t="s">
        <v>168</v>
      </c>
      <c r="E125" s="38" t="s">
        <v>128</v>
      </c>
      <c r="F125" s="40"/>
      <c r="G125" s="40"/>
      <c r="H125" s="45">
        <f>SUM(H128:H131)</f>
        <v>6.3569493999999995</v>
      </c>
    </row>
    <row r="126" spans="1:8" x14ac:dyDescent="0.25">
      <c r="B126" s="46" t="s">
        <v>662</v>
      </c>
      <c r="C126" s="47" t="s">
        <v>145</v>
      </c>
      <c r="D126" s="50" t="s">
        <v>138</v>
      </c>
      <c r="E126" s="49" t="s">
        <v>139</v>
      </c>
      <c r="F126" s="49">
        <v>7.0000000000000001E-3</v>
      </c>
      <c r="G126" s="51">
        <v>5.13</v>
      </c>
      <c r="H126" s="51">
        <f>F126*G126</f>
        <v>3.5909999999999997E-2</v>
      </c>
    </row>
    <row r="127" spans="1:8" ht="16.5" customHeight="1" x14ac:dyDescent="0.25">
      <c r="B127" s="46" t="s">
        <v>235</v>
      </c>
      <c r="C127" s="47" t="s">
        <v>215</v>
      </c>
      <c r="D127" s="69" t="s">
        <v>138</v>
      </c>
      <c r="E127" s="49" t="s">
        <v>139</v>
      </c>
      <c r="F127" s="49">
        <v>4.4999999999999998E-2</v>
      </c>
      <c r="G127" s="51">
        <v>8.24</v>
      </c>
      <c r="H127" s="51">
        <f>F127*G127</f>
        <v>0.37080000000000002</v>
      </c>
    </row>
    <row r="128" spans="1:8" x14ac:dyDescent="0.25">
      <c r="A128" s="59"/>
      <c r="B128" s="47"/>
      <c r="C128" s="43" t="s">
        <v>155</v>
      </c>
      <c r="D128" s="61" t="s">
        <v>156</v>
      </c>
      <c r="E128" s="38" t="s">
        <v>139</v>
      </c>
      <c r="F128" s="62">
        <v>1.1399999999999999</v>
      </c>
      <c r="G128" s="63"/>
      <c r="H128" s="63">
        <f>(SUM(H126:H127))*(1+F128)</f>
        <v>0.87035939999999989</v>
      </c>
    </row>
    <row r="129" spans="2:8" x14ac:dyDescent="0.25">
      <c r="B129" s="46" t="s">
        <v>236</v>
      </c>
      <c r="C129" s="47" t="s">
        <v>237</v>
      </c>
      <c r="D129" s="69" t="s">
        <v>168</v>
      </c>
      <c r="E129" s="49" t="s">
        <v>159</v>
      </c>
      <c r="F129" s="49">
        <v>1.0500000000000001E-2</v>
      </c>
      <c r="G129" s="51">
        <v>12</v>
      </c>
      <c r="H129" s="51">
        <f t="shared" ref="H129:H131" si="12">F129*G129</f>
        <v>0.126</v>
      </c>
    </row>
    <row r="130" spans="2:8" ht="30" x14ac:dyDescent="0.25">
      <c r="B130" s="46" t="s">
        <v>663</v>
      </c>
      <c r="C130" s="47" t="s">
        <v>245</v>
      </c>
      <c r="D130" s="69" t="s">
        <v>117</v>
      </c>
      <c r="E130" s="49" t="s">
        <v>159</v>
      </c>
      <c r="F130" s="49">
        <v>0.58499999999999996</v>
      </c>
      <c r="G130" s="51">
        <v>8.83</v>
      </c>
      <c r="H130" s="51">
        <f t="shared" si="12"/>
        <v>5.1655499999999996</v>
      </c>
    </row>
    <row r="131" spans="2:8" ht="30" x14ac:dyDescent="0.25">
      <c r="B131" s="46" t="s">
        <v>664</v>
      </c>
      <c r="C131" s="47" t="s">
        <v>241</v>
      </c>
      <c r="D131" s="69" t="s">
        <v>123</v>
      </c>
      <c r="E131" s="49" t="s">
        <v>159</v>
      </c>
      <c r="F131" s="49">
        <v>1.2190000000000001</v>
      </c>
      <c r="G131" s="51">
        <v>0.16</v>
      </c>
      <c r="H131" s="51">
        <f t="shared" si="12"/>
        <v>0.19504000000000002</v>
      </c>
    </row>
    <row r="132" spans="2:8" x14ac:dyDescent="0.25">
      <c r="B132" s="52" t="s">
        <v>130</v>
      </c>
      <c r="C132" s="192" t="s">
        <v>232</v>
      </c>
      <c r="D132" s="192"/>
      <c r="E132" s="192"/>
      <c r="F132" s="192"/>
      <c r="G132" s="192"/>
      <c r="H132" s="192"/>
    </row>
    <row r="135" spans="2:8" ht="15.75" x14ac:dyDescent="0.25">
      <c r="B135" s="208" t="s">
        <v>246</v>
      </c>
      <c r="C135" s="209"/>
      <c r="D135" s="209"/>
      <c r="E135" s="209"/>
      <c r="F135" s="209"/>
      <c r="G135" s="209"/>
      <c r="H135" s="210"/>
    </row>
    <row r="136" spans="2:8" x14ac:dyDescent="0.25">
      <c r="B136" s="38" t="s">
        <v>121</v>
      </c>
      <c r="C136" s="39" t="s">
        <v>122</v>
      </c>
      <c r="D136" s="38" t="s">
        <v>123</v>
      </c>
      <c r="E136" s="38" t="s">
        <v>124</v>
      </c>
      <c r="F136" s="40" t="s">
        <v>125</v>
      </c>
      <c r="G136" s="40" t="s">
        <v>126</v>
      </c>
      <c r="H136" s="41" t="s">
        <v>127</v>
      </c>
    </row>
    <row r="137" spans="2:8" ht="30" x14ac:dyDescent="0.25">
      <c r="B137" s="42" t="s">
        <v>220</v>
      </c>
      <c r="C137" s="43" t="s">
        <v>221</v>
      </c>
      <c r="D137" s="44" t="s">
        <v>135</v>
      </c>
      <c r="E137" s="38" t="s">
        <v>128</v>
      </c>
      <c r="F137" s="40"/>
      <c r="G137" s="40"/>
      <c r="H137" s="45">
        <f>SUM(H138:H138)</f>
        <v>372.87600000000003</v>
      </c>
    </row>
    <row r="138" spans="2:8" x14ac:dyDescent="0.25">
      <c r="B138" s="53"/>
      <c r="C138" s="50"/>
      <c r="D138" s="53"/>
      <c r="E138" s="49"/>
      <c r="F138">
        <v>1.05</v>
      </c>
      <c r="G138" s="54">
        <v>355.12</v>
      </c>
      <c r="H138" s="51">
        <f>F138*G138</f>
        <v>372.87600000000003</v>
      </c>
    </row>
    <row r="139" spans="2:8" x14ac:dyDescent="0.25">
      <c r="B139" s="52" t="s">
        <v>130</v>
      </c>
      <c r="C139" s="195" t="s">
        <v>131</v>
      </c>
      <c r="D139" s="196"/>
      <c r="E139" s="196"/>
      <c r="F139" s="196"/>
      <c r="G139" s="196"/>
      <c r="H139" s="197"/>
    </row>
    <row r="142" spans="2:8" ht="15.75" x14ac:dyDescent="0.25">
      <c r="B142" s="208" t="s">
        <v>247</v>
      </c>
      <c r="C142" s="209"/>
      <c r="D142" s="209"/>
      <c r="E142" s="209"/>
      <c r="F142" s="209"/>
      <c r="G142" s="209"/>
      <c r="H142" s="210"/>
    </row>
    <row r="143" spans="2:8" x14ac:dyDescent="0.25">
      <c r="B143" s="38" t="s">
        <v>121</v>
      </c>
      <c r="C143" s="39" t="s">
        <v>122</v>
      </c>
      <c r="D143" s="38" t="s">
        <v>123</v>
      </c>
      <c r="E143" s="38" t="s">
        <v>124</v>
      </c>
      <c r="F143" s="40" t="s">
        <v>125</v>
      </c>
      <c r="G143" s="40" t="s">
        <v>126</v>
      </c>
      <c r="H143" s="41" t="s">
        <v>127</v>
      </c>
    </row>
    <row r="144" spans="2:8" ht="45" x14ac:dyDescent="0.25">
      <c r="B144" s="42" t="s">
        <v>665</v>
      </c>
      <c r="C144" s="43" t="s">
        <v>248</v>
      </c>
      <c r="D144" s="44" t="s">
        <v>135</v>
      </c>
      <c r="E144" s="38" t="s">
        <v>128</v>
      </c>
      <c r="F144" s="40"/>
      <c r="G144" s="40"/>
      <c r="H144" s="45">
        <f>SUM(H148:H151)</f>
        <v>722.02459120000003</v>
      </c>
    </row>
    <row r="145" spans="1:8" x14ac:dyDescent="0.25">
      <c r="B145" s="46" t="s">
        <v>655</v>
      </c>
      <c r="C145" s="47" t="s">
        <v>965</v>
      </c>
      <c r="D145" s="72" t="s">
        <v>138</v>
      </c>
      <c r="E145" s="49" t="s">
        <v>139</v>
      </c>
      <c r="F145" s="50">
        <v>0.16300000000000001</v>
      </c>
      <c r="G145" s="51">
        <v>8.24</v>
      </c>
      <c r="H145" s="51">
        <f>F145*G145</f>
        <v>1.3431200000000001</v>
      </c>
    </row>
    <row r="146" spans="1:8" x14ac:dyDescent="0.25">
      <c r="B146" s="46" t="s">
        <v>666</v>
      </c>
      <c r="C146" s="47" t="s">
        <v>422</v>
      </c>
      <c r="D146" s="69" t="s">
        <v>138</v>
      </c>
      <c r="E146" s="49" t="s">
        <v>139</v>
      </c>
      <c r="F146" s="49">
        <v>0.65300000000000002</v>
      </c>
      <c r="G146" s="51">
        <v>8.24</v>
      </c>
      <c r="H146" s="51">
        <f>F146*G146</f>
        <v>5.3807200000000002</v>
      </c>
    </row>
    <row r="147" spans="1:8" x14ac:dyDescent="0.25">
      <c r="B147" s="46" t="s">
        <v>656</v>
      </c>
      <c r="C147" s="47" t="s">
        <v>226</v>
      </c>
      <c r="D147" s="69" t="s">
        <v>138</v>
      </c>
      <c r="E147" s="49" t="s">
        <v>139</v>
      </c>
      <c r="F147" s="49">
        <v>0.73399999999999999</v>
      </c>
      <c r="G147" s="51">
        <v>4.8600000000000003</v>
      </c>
      <c r="H147" s="51">
        <f t="shared" ref="H147:H151" si="13">F147*G147</f>
        <v>3.56724</v>
      </c>
    </row>
    <row r="148" spans="1:8" x14ac:dyDescent="0.25">
      <c r="A148" s="59"/>
      <c r="B148" s="47"/>
      <c r="C148" s="43" t="s">
        <v>155</v>
      </c>
      <c r="D148" s="61" t="s">
        <v>156</v>
      </c>
      <c r="E148" s="38" t="s">
        <v>139</v>
      </c>
      <c r="F148" s="62">
        <v>1.1399999999999999</v>
      </c>
      <c r="G148" s="63"/>
      <c r="H148" s="63">
        <f>(SUM(H145:H147))*(1+F148)</f>
        <v>22.022911199999999</v>
      </c>
    </row>
    <row r="149" spans="1:8" ht="30" x14ac:dyDescent="0.25">
      <c r="B149" s="46" t="s">
        <v>667</v>
      </c>
      <c r="C149" s="47" t="s">
        <v>668</v>
      </c>
      <c r="D149" s="69" t="s">
        <v>135</v>
      </c>
      <c r="E149" s="49" t="s">
        <v>159</v>
      </c>
      <c r="F149" s="49">
        <v>1.0900000000000001</v>
      </c>
      <c r="G149" s="51">
        <v>355.12</v>
      </c>
      <c r="H149" s="51">
        <f t="shared" si="13"/>
        <v>387.08080000000001</v>
      </c>
    </row>
    <row r="150" spans="1:8" ht="30" x14ac:dyDescent="0.25">
      <c r="B150" s="46" t="s">
        <v>669</v>
      </c>
      <c r="C150" s="47" t="s">
        <v>670</v>
      </c>
      <c r="D150" s="72" t="s">
        <v>249</v>
      </c>
      <c r="E150" s="49" t="s">
        <v>129</v>
      </c>
      <c r="F150" s="49">
        <v>0.06</v>
      </c>
      <c r="G150" s="57">
        <v>1919.76</v>
      </c>
      <c r="H150" s="51">
        <f t="shared" si="13"/>
        <v>115.18559999999999</v>
      </c>
    </row>
    <row r="151" spans="1:8" ht="30" x14ac:dyDescent="0.25">
      <c r="B151" s="46" t="s">
        <v>671</v>
      </c>
      <c r="C151" s="47" t="s">
        <v>672</v>
      </c>
      <c r="D151" s="72" t="s">
        <v>250</v>
      </c>
      <c r="E151" s="49" t="s">
        <v>129</v>
      </c>
      <c r="F151" s="49">
        <v>0.10299999999999999</v>
      </c>
      <c r="G151" s="57">
        <v>1919.76</v>
      </c>
      <c r="H151" s="51">
        <f t="shared" si="13"/>
        <v>197.73527999999999</v>
      </c>
    </row>
    <row r="152" spans="1:8" x14ac:dyDescent="0.25">
      <c r="B152" s="52" t="s">
        <v>130</v>
      </c>
      <c r="C152" s="195" t="s">
        <v>131</v>
      </c>
      <c r="D152" s="196"/>
      <c r="E152" s="196"/>
      <c r="F152" s="196"/>
      <c r="G152" s="196"/>
      <c r="H152" s="197"/>
    </row>
    <row r="155" spans="1:8" ht="15.75" x14ac:dyDescent="0.25">
      <c r="B155" s="203" t="s">
        <v>251</v>
      </c>
      <c r="C155" s="203"/>
      <c r="D155" s="203"/>
      <c r="E155" s="203"/>
      <c r="F155" s="203"/>
      <c r="G155" s="203"/>
      <c r="H155" s="203"/>
    </row>
    <row r="156" spans="1:8" x14ac:dyDescent="0.25">
      <c r="B156" s="38" t="s">
        <v>121</v>
      </c>
      <c r="C156" s="39" t="s">
        <v>122</v>
      </c>
      <c r="D156" s="38" t="s">
        <v>123</v>
      </c>
      <c r="E156" s="38" t="s">
        <v>124</v>
      </c>
      <c r="F156" s="40" t="s">
        <v>125</v>
      </c>
      <c r="G156" s="40" t="s">
        <v>126</v>
      </c>
      <c r="H156" s="41" t="s">
        <v>127</v>
      </c>
    </row>
    <row r="157" spans="1:8" x14ac:dyDescent="0.25">
      <c r="B157" s="42"/>
      <c r="C157" s="43"/>
      <c r="D157" s="44"/>
      <c r="E157" s="38"/>
      <c r="F157" s="40"/>
      <c r="G157" s="40"/>
      <c r="H157" s="45">
        <f>SUM(H158:H160)</f>
        <v>0</v>
      </c>
    </row>
    <row r="158" spans="1:8" x14ac:dyDescent="0.25">
      <c r="B158" s="53"/>
      <c r="C158" s="47"/>
      <c r="D158" s="49"/>
      <c r="E158" s="49"/>
      <c r="F158" s="49"/>
      <c r="G158" s="40"/>
      <c r="H158" s="51">
        <f t="shared" ref="H158:H159" si="14">F158*G158</f>
        <v>0</v>
      </c>
    </row>
    <row r="159" spans="1:8" x14ac:dyDescent="0.25">
      <c r="B159" s="53"/>
      <c r="C159" s="47"/>
      <c r="D159" s="49"/>
      <c r="E159" s="49"/>
      <c r="F159" s="54"/>
      <c r="G159" s="40"/>
      <c r="H159" s="51">
        <f t="shared" si="14"/>
        <v>0</v>
      </c>
    </row>
    <row r="160" spans="1:8" ht="33" customHeight="1" x14ac:dyDescent="0.25">
      <c r="B160" s="53"/>
      <c r="C160" s="65"/>
      <c r="D160" s="49"/>
      <c r="E160" s="49"/>
      <c r="F160" s="49"/>
      <c r="G160" s="54"/>
      <c r="H160" s="51">
        <f>F160*G160</f>
        <v>0</v>
      </c>
    </row>
    <row r="161" spans="1:8" x14ac:dyDescent="0.25">
      <c r="B161" s="52" t="s">
        <v>130</v>
      </c>
      <c r="C161" s="192"/>
      <c r="D161" s="192"/>
      <c r="E161" s="192"/>
      <c r="F161" s="192"/>
      <c r="G161" s="192"/>
      <c r="H161" s="192"/>
    </row>
    <row r="164" spans="1:8" ht="15.75" x14ac:dyDescent="0.25">
      <c r="B164" s="191" t="s">
        <v>252</v>
      </c>
      <c r="C164" s="191"/>
      <c r="D164" s="191"/>
      <c r="E164" s="191"/>
      <c r="F164" s="191"/>
      <c r="G164" s="191"/>
      <c r="H164" s="191"/>
    </row>
    <row r="165" spans="1:8" x14ac:dyDescent="0.25">
      <c r="B165" s="38" t="s">
        <v>121</v>
      </c>
      <c r="C165" s="39" t="s">
        <v>122</v>
      </c>
      <c r="D165" s="38" t="s">
        <v>123</v>
      </c>
      <c r="E165" s="38" t="s">
        <v>124</v>
      </c>
      <c r="F165" s="40" t="s">
        <v>125</v>
      </c>
      <c r="G165" s="40" t="s">
        <v>126</v>
      </c>
      <c r="H165" s="41" t="s">
        <v>127</v>
      </c>
    </row>
    <row r="166" spans="1:8" ht="30" x14ac:dyDescent="0.25">
      <c r="B166" s="42" t="s">
        <v>673</v>
      </c>
      <c r="C166" s="43" t="s">
        <v>674</v>
      </c>
      <c r="D166" s="44" t="s">
        <v>117</v>
      </c>
      <c r="E166" s="38" t="s">
        <v>128</v>
      </c>
      <c r="F166" s="40"/>
      <c r="G166" s="40"/>
      <c r="H166" s="45">
        <f>SUM(H169:H171)</f>
        <v>14.034351359999999</v>
      </c>
    </row>
    <row r="167" spans="1:8" x14ac:dyDescent="0.25">
      <c r="B167" s="46" t="s">
        <v>655</v>
      </c>
      <c r="C167" s="47" t="s">
        <v>966</v>
      </c>
      <c r="D167" s="50" t="s">
        <v>138</v>
      </c>
      <c r="E167" s="49" t="s">
        <v>139</v>
      </c>
      <c r="F167" s="50">
        <v>0.39539999999999997</v>
      </c>
      <c r="G167" s="51">
        <v>8.24</v>
      </c>
      <c r="H167" s="51">
        <f>F167*G167</f>
        <v>3.2580959999999997</v>
      </c>
    </row>
    <row r="168" spans="1:8" x14ac:dyDescent="0.25">
      <c r="B168" s="46" t="s">
        <v>656</v>
      </c>
      <c r="C168" s="47" t="s">
        <v>967</v>
      </c>
      <c r="D168" s="69" t="s">
        <v>138</v>
      </c>
      <c r="E168" s="49" t="s">
        <v>139</v>
      </c>
      <c r="F168" s="49">
        <v>0.2848</v>
      </c>
      <c r="G168" s="51">
        <v>4.8600000000000003</v>
      </c>
      <c r="H168" s="51">
        <f>F168*G168</f>
        <v>1.384128</v>
      </c>
    </row>
    <row r="169" spans="1:8" x14ac:dyDescent="0.25">
      <c r="A169" s="59"/>
      <c r="B169" s="47"/>
      <c r="C169" s="43" t="s">
        <v>155</v>
      </c>
      <c r="D169" s="61" t="s">
        <v>156</v>
      </c>
      <c r="E169" s="38" t="s">
        <v>139</v>
      </c>
      <c r="F169" s="62">
        <v>1.1399999999999999</v>
      </c>
      <c r="G169" s="63"/>
      <c r="H169" s="63">
        <f>(SUM(H167:H168))*(1+F169)</f>
        <v>9.9343593599999984</v>
      </c>
    </row>
    <row r="170" spans="1:8" x14ac:dyDescent="0.25">
      <c r="B170" s="46" t="s">
        <v>657</v>
      </c>
      <c r="C170" s="47" t="s">
        <v>658</v>
      </c>
      <c r="D170" s="69" t="s">
        <v>173</v>
      </c>
      <c r="E170" s="49" t="s">
        <v>159</v>
      </c>
      <c r="F170" s="49">
        <v>3.3300000000000003E-2</v>
      </c>
      <c r="G170" s="51">
        <v>11.64</v>
      </c>
      <c r="H170" s="51">
        <f t="shared" ref="H170:H171" si="15">F170*G170</f>
        <v>0.38761200000000007</v>
      </c>
    </row>
    <row r="171" spans="1:8" ht="45" x14ac:dyDescent="0.25">
      <c r="B171" s="46" t="s">
        <v>659</v>
      </c>
      <c r="C171" s="47" t="s">
        <v>660</v>
      </c>
      <c r="D171" s="69" t="s">
        <v>117</v>
      </c>
      <c r="E171" s="49" t="s">
        <v>159</v>
      </c>
      <c r="F171" s="49">
        <v>2.8E-3</v>
      </c>
      <c r="G171" s="51">
        <v>1325.85</v>
      </c>
      <c r="H171" s="51">
        <f t="shared" si="15"/>
        <v>3.7123799999999996</v>
      </c>
    </row>
    <row r="172" spans="1:8" x14ac:dyDescent="0.25">
      <c r="B172" s="52" t="s">
        <v>130</v>
      </c>
      <c r="C172" s="192" t="s">
        <v>232</v>
      </c>
      <c r="D172" s="192"/>
      <c r="E172" s="192"/>
      <c r="F172" s="192"/>
      <c r="G172" s="192"/>
      <c r="H172" s="192"/>
    </row>
    <row r="175" spans="1:8" ht="15.75" x14ac:dyDescent="0.25">
      <c r="B175" s="191" t="s">
        <v>253</v>
      </c>
      <c r="C175" s="191"/>
      <c r="D175" s="191"/>
      <c r="E175" s="191"/>
      <c r="F175" s="191"/>
      <c r="G175" s="191"/>
      <c r="H175" s="191"/>
    </row>
    <row r="176" spans="1:8" x14ac:dyDescent="0.25">
      <c r="B176" s="38" t="s">
        <v>121</v>
      </c>
      <c r="C176" s="39" t="s">
        <v>122</v>
      </c>
      <c r="D176" s="38" t="s">
        <v>123</v>
      </c>
      <c r="E176" s="38" t="s">
        <v>124</v>
      </c>
      <c r="F176" s="40" t="s">
        <v>125</v>
      </c>
      <c r="G176" s="40" t="s">
        <v>126</v>
      </c>
      <c r="H176" s="41" t="s">
        <v>127</v>
      </c>
    </row>
    <row r="177" spans="1:8" ht="30" x14ac:dyDescent="0.25">
      <c r="B177" s="42" t="s">
        <v>675</v>
      </c>
      <c r="C177" s="43" t="s">
        <v>676</v>
      </c>
      <c r="D177" s="44" t="s">
        <v>117</v>
      </c>
      <c r="E177" s="38" t="s">
        <v>128</v>
      </c>
      <c r="F177" s="40"/>
      <c r="G177" s="40"/>
      <c r="H177" s="45">
        <f>SUM(H180:H182)</f>
        <v>12.976844679999999</v>
      </c>
    </row>
    <row r="178" spans="1:8" x14ac:dyDescent="0.25">
      <c r="B178" s="46" t="s">
        <v>655</v>
      </c>
      <c r="C178" s="47" t="s">
        <v>964</v>
      </c>
      <c r="D178" s="68" t="s">
        <v>138</v>
      </c>
      <c r="E178" s="49" t="s">
        <v>139</v>
      </c>
      <c r="F178" s="50">
        <v>0.3533</v>
      </c>
      <c r="G178" s="51">
        <v>8.24</v>
      </c>
      <c r="H178" s="51">
        <f>F178*G178</f>
        <v>2.9111920000000002</v>
      </c>
    </row>
    <row r="179" spans="1:8" x14ac:dyDescent="0.25">
      <c r="B179" s="46" t="s">
        <v>656</v>
      </c>
      <c r="C179" s="47" t="s">
        <v>137</v>
      </c>
      <c r="D179" s="69" t="s">
        <v>138</v>
      </c>
      <c r="E179" s="49" t="s">
        <v>139</v>
      </c>
      <c r="F179" s="73">
        <v>0.2545</v>
      </c>
      <c r="G179" s="51">
        <v>4.8600000000000003</v>
      </c>
      <c r="H179" s="51">
        <f>F179*G179</f>
        <v>1.2368700000000001</v>
      </c>
    </row>
    <row r="180" spans="1:8" x14ac:dyDescent="0.25">
      <c r="A180" s="59"/>
      <c r="B180" s="47"/>
      <c r="C180" s="43" t="s">
        <v>155</v>
      </c>
      <c r="D180" s="61" t="s">
        <v>156</v>
      </c>
      <c r="E180" s="38" t="s">
        <v>139</v>
      </c>
      <c r="F180" s="62">
        <v>1.1399999999999999</v>
      </c>
      <c r="G180" s="63"/>
      <c r="H180" s="63">
        <f>(SUM(H178:H179))*(1+F180)</f>
        <v>8.8768526799999989</v>
      </c>
    </row>
    <row r="181" spans="1:8" ht="45" x14ac:dyDescent="0.25">
      <c r="B181" s="46" t="s">
        <v>659</v>
      </c>
      <c r="C181" s="47" t="s">
        <v>660</v>
      </c>
      <c r="D181" s="69" t="s">
        <v>117</v>
      </c>
      <c r="E181" s="49" t="s">
        <v>159</v>
      </c>
      <c r="F181" s="49">
        <v>2.8E-3</v>
      </c>
      <c r="G181" s="51">
        <v>1325.85</v>
      </c>
      <c r="H181" s="51">
        <f t="shared" ref="H181:H182" si="16">F181*G181</f>
        <v>3.7123799999999996</v>
      </c>
    </row>
    <row r="182" spans="1:8" x14ac:dyDescent="0.25">
      <c r="B182" s="46" t="s">
        <v>657</v>
      </c>
      <c r="C182" s="47" t="s">
        <v>658</v>
      </c>
      <c r="D182" s="69" t="s">
        <v>173</v>
      </c>
      <c r="E182" s="49" t="s">
        <v>159</v>
      </c>
      <c r="F182" s="49">
        <v>3.3300000000000003E-2</v>
      </c>
      <c r="G182" s="51">
        <v>11.64</v>
      </c>
      <c r="H182" s="51">
        <f t="shared" si="16"/>
        <v>0.38761200000000007</v>
      </c>
    </row>
    <row r="183" spans="1:8" x14ac:dyDescent="0.25">
      <c r="B183" s="52" t="s">
        <v>130</v>
      </c>
      <c r="C183" s="192" t="s">
        <v>232</v>
      </c>
      <c r="D183" s="192"/>
      <c r="E183" s="192"/>
      <c r="F183" s="192"/>
      <c r="G183" s="192"/>
      <c r="H183" s="192"/>
    </row>
    <row r="186" spans="1:8" ht="15.75" x14ac:dyDescent="0.25">
      <c r="B186" s="191" t="s">
        <v>254</v>
      </c>
      <c r="C186" s="191"/>
      <c r="D186" s="191"/>
      <c r="E186" s="191"/>
      <c r="F186" s="191"/>
      <c r="G186" s="191"/>
      <c r="H186" s="191"/>
    </row>
    <row r="187" spans="1:8" x14ac:dyDescent="0.25">
      <c r="B187" s="38" t="s">
        <v>121</v>
      </c>
      <c r="C187" s="39" t="s">
        <v>122</v>
      </c>
      <c r="D187" s="38" t="s">
        <v>123</v>
      </c>
      <c r="E187" s="38" t="s">
        <v>124</v>
      </c>
      <c r="F187" s="40" t="s">
        <v>125</v>
      </c>
      <c r="G187" s="40" t="s">
        <v>126</v>
      </c>
      <c r="H187" s="41" t="s">
        <v>127</v>
      </c>
    </row>
    <row r="188" spans="1:8" ht="30" x14ac:dyDescent="0.25">
      <c r="B188" s="42" t="s">
        <v>969</v>
      </c>
      <c r="C188" s="43" t="s">
        <v>968</v>
      </c>
      <c r="D188" s="44" t="s">
        <v>117</v>
      </c>
      <c r="E188" s="38" t="s">
        <v>128</v>
      </c>
      <c r="F188" s="40"/>
      <c r="G188" s="40"/>
      <c r="H188" s="45">
        <f>SUM(H191:H193)</f>
        <v>9.1694109600000004</v>
      </c>
    </row>
    <row r="189" spans="1:8" x14ac:dyDescent="0.25">
      <c r="B189" s="46" t="s">
        <v>655</v>
      </c>
      <c r="C189" s="47" t="s">
        <v>964</v>
      </c>
      <c r="D189" s="68" t="s">
        <v>138</v>
      </c>
      <c r="E189" s="49" t="s">
        <v>139</v>
      </c>
      <c r="F189" s="50">
        <v>0.224</v>
      </c>
      <c r="G189" s="51">
        <v>8.24</v>
      </c>
      <c r="H189" s="51">
        <f>F189*G189</f>
        <v>1.8457600000000001</v>
      </c>
    </row>
    <row r="190" spans="1:8" x14ac:dyDescent="0.25">
      <c r="B190" s="46" t="s">
        <v>656</v>
      </c>
      <c r="C190" s="47" t="s">
        <v>971</v>
      </c>
      <c r="D190" s="69" t="s">
        <v>138</v>
      </c>
      <c r="E190" s="49" t="s">
        <v>139</v>
      </c>
      <c r="F190" s="73">
        <v>0.16139999999999999</v>
      </c>
      <c r="G190" s="51">
        <v>4.8600000000000003</v>
      </c>
      <c r="H190" s="51">
        <f>F190*G190</f>
        <v>0.78440399999999999</v>
      </c>
    </row>
    <row r="191" spans="1:8" x14ac:dyDescent="0.25">
      <c r="A191" s="59"/>
      <c r="B191" s="47"/>
      <c r="C191" s="43" t="s">
        <v>155</v>
      </c>
      <c r="D191" s="61" t="s">
        <v>156</v>
      </c>
      <c r="E191" s="38" t="s">
        <v>139</v>
      </c>
      <c r="F191" s="62">
        <v>1.1399999999999999</v>
      </c>
      <c r="G191" s="63"/>
      <c r="H191" s="63">
        <f>(SUM(H189:H190))*(1+F191)</f>
        <v>5.6285509599999992</v>
      </c>
    </row>
    <row r="192" spans="1:8" ht="45" x14ac:dyDescent="0.25">
      <c r="B192" s="46" t="s">
        <v>972</v>
      </c>
      <c r="C192" s="47" t="s">
        <v>970</v>
      </c>
      <c r="D192" s="69"/>
      <c r="E192" s="49" t="s">
        <v>159</v>
      </c>
      <c r="F192" s="49">
        <v>2.8E-3</v>
      </c>
      <c r="G192" s="51">
        <v>1126.1600000000001</v>
      </c>
      <c r="H192" s="51">
        <f t="shared" ref="H192:H193" si="17">F192*G192</f>
        <v>3.1532480000000001</v>
      </c>
    </row>
    <row r="193" spans="1:8" x14ac:dyDescent="0.25">
      <c r="B193" s="46" t="s">
        <v>657</v>
      </c>
      <c r="C193" s="47" t="s">
        <v>658</v>
      </c>
      <c r="D193" s="69"/>
      <c r="E193" s="49" t="s">
        <v>159</v>
      </c>
      <c r="F193" s="49">
        <v>3.3300000000000003E-2</v>
      </c>
      <c r="G193" s="51">
        <v>11.64</v>
      </c>
      <c r="H193" s="51">
        <f t="shared" si="17"/>
        <v>0.38761200000000007</v>
      </c>
    </row>
    <row r="194" spans="1:8" x14ac:dyDescent="0.25">
      <c r="B194" s="52" t="s">
        <v>130</v>
      </c>
      <c r="C194" s="192" t="s">
        <v>232</v>
      </c>
      <c r="D194" s="192"/>
      <c r="E194" s="192"/>
      <c r="F194" s="192"/>
      <c r="G194" s="192"/>
      <c r="H194" s="192"/>
    </row>
    <row r="197" spans="1:8" ht="15.75" x14ac:dyDescent="0.25">
      <c r="B197" s="191" t="s">
        <v>255</v>
      </c>
      <c r="C197" s="191"/>
      <c r="D197" s="191"/>
      <c r="E197" s="191"/>
      <c r="F197" s="191"/>
      <c r="G197" s="191"/>
      <c r="H197" s="191"/>
    </row>
    <row r="198" spans="1:8" x14ac:dyDescent="0.25">
      <c r="B198" s="38" t="s">
        <v>121</v>
      </c>
      <c r="C198" s="39" t="s">
        <v>122</v>
      </c>
      <c r="D198" s="38" t="s">
        <v>123</v>
      </c>
      <c r="E198" s="38" t="s">
        <v>124</v>
      </c>
      <c r="F198" s="40" t="s">
        <v>125</v>
      </c>
      <c r="G198" s="40" t="s">
        <v>126</v>
      </c>
      <c r="H198" s="41" t="s">
        <v>127</v>
      </c>
    </row>
    <row r="199" spans="1:8" ht="30" x14ac:dyDescent="0.25">
      <c r="B199" s="42" t="s">
        <v>677</v>
      </c>
      <c r="C199" s="43" t="s">
        <v>678</v>
      </c>
      <c r="D199" s="44" t="s">
        <v>168</v>
      </c>
      <c r="E199" s="38" t="s">
        <v>128</v>
      </c>
      <c r="F199" s="40"/>
      <c r="G199" s="40"/>
      <c r="H199" s="45">
        <f>SUM(H202:H205)</f>
        <v>6.4358523999999999</v>
      </c>
    </row>
    <row r="200" spans="1:8" x14ac:dyDescent="0.25">
      <c r="B200" s="46" t="s">
        <v>679</v>
      </c>
      <c r="C200" s="47" t="s">
        <v>213</v>
      </c>
      <c r="D200" s="50" t="s">
        <v>138</v>
      </c>
      <c r="E200" s="49" t="s">
        <v>139</v>
      </c>
      <c r="F200" s="50">
        <v>6.0000000000000001E-3</v>
      </c>
      <c r="G200" s="51">
        <v>5.13</v>
      </c>
      <c r="H200" s="51">
        <f>F200*G200</f>
        <v>3.0779999999999998E-2</v>
      </c>
    </row>
    <row r="201" spans="1:8" x14ac:dyDescent="0.25">
      <c r="B201" s="46" t="s">
        <v>680</v>
      </c>
      <c r="C201" s="47" t="s">
        <v>215</v>
      </c>
      <c r="D201" s="69" t="s">
        <v>138</v>
      </c>
      <c r="E201" s="49" t="s">
        <v>139</v>
      </c>
      <c r="F201" s="49">
        <v>3.6999999999999998E-2</v>
      </c>
      <c r="G201" s="51">
        <v>8.24</v>
      </c>
      <c r="H201" s="51">
        <f>F201*G201</f>
        <v>0.30487999999999998</v>
      </c>
    </row>
    <row r="202" spans="1:8" x14ac:dyDescent="0.25">
      <c r="A202" s="59"/>
      <c r="B202" s="47"/>
      <c r="C202" s="43" t="s">
        <v>155</v>
      </c>
      <c r="D202" s="61" t="s">
        <v>156</v>
      </c>
      <c r="E202" s="38" t="s">
        <v>139</v>
      </c>
      <c r="F202" s="62">
        <v>1.1399999999999999</v>
      </c>
      <c r="G202" s="63"/>
      <c r="H202" s="63">
        <f>(SUM(H200:H201))*(1+F202)</f>
        <v>0.71831239999999985</v>
      </c>
    </row>
    <row r="203" spans="1:8" ht="30" x14ac:dyDescent="0.25">
      <c r="B203" s="46" t="s">
        <v>664</v>
      </c>
      <c r="C203" s="47" t="s">
        <v>681</v>
      </c>
      <c r="D203" s="69" t="s">
        <v>123</v>
      </c>
      <c r="E203" s="49" t="s">
        <v>159</v>
      </c>
      <c r="F203" s="49">
        <v>0.998</v>
      </c>
      <c r="G203" s="51">
        <v>0.16</v>
      </c>
      <c r="H203" s="51">
        <f t="shared" ref="H203:H205" si="18">F203*G203</f>
        <v>0.15968000000000002</v>
      </c>
    </row>
    <row r="204" spans="1:8" ht="30" x14ac:dyDescent="0.25">
      <c r="B204" s="46" t="s">
        <v>682</v>
      </c>
      <c r="C204" s="47" t="s">
        <v>683</v>
      </c>
      <c r="D204" s="69" t="s">
        <v>117</v>
      </c>
      <c r="E204" s="49" t="s">
        <v>159</v>
      </c>
      <c r="F204" s="49">
        <v>0.47899999999999998</v>
      </c>
      <c r="G204" s="51">
        <v>11.34</v>
      </c>
      <c r="H204" s="51">
        <f t="shared" si="18"/>
        <v>5.4318599999999995</v>
      </c>
    </row>
    <row r="205" spans="1:8" x14ac:dyDescent="0.25">
      <c r="B205" s="46" t="s">
        <v>684</v>
      </c>
      <c r="C205" s="47" t="s">
        <v>685</v>
      </c>
      <c r="D205" s="69" t="s">
        <v>168</v>
      </c>
      <c r="E205" s="49" t="s">
        <v>159</v>
      </c>
      <c r="F205" s="49">
        <v>1.0500000000000001E-2</v>
      </c>
      <c r="G205" s="51">
        <v>12</v>
      </c>
      <c r="H205" s="51">
        <f t="shared" si="18"/>
        <v>0.126</v>
      </c>
    </row>
    <row r="206" spans="1:8" x14ac:dyDescent="0.25">
      <c r="B206" s="52" t="s">
        <v>130</v>
      </c>
      <c r="C206" s="192" t="s">
        <v>232</v>
      </c>
      <c r="D206" s="192"/>
      <c r="E206" s="192"/>
      <c r="F206" s="192"/>
      <c r="G206" s="192"/>
      <c r="H206" s="192"/>
    </row>
    <row r="209" spans="2:8" ht="15.75" x14ac:dyDescent="0.25">
      <c r="B209" s="208" t="s">
        <v>256</v>
      </c>
      <c r="C209" s="209"/>
      <c r="D209" s="209"/>
      <c r="E209" s="209"/>
      <c r="F209" s="209"/>
      <c r="G209" s="209"/>
      <c r="H209" s="210"/>
    </row>
    <row r="210" spans="2:8" x14ac:dyDescent="0.25">
      <c r="B210" s="38" t="s">
        <v>121</v>
      </c>
      <c r="C210" s="39" t="s">
        <v>122</v>
      </c>
      <c r="D210" s="38" t="s">
        <v>123</v>
      </c>
      <c r="E210" s="38" t="s">
        <v>124</v>
      </c>
      <c r="F210" s="40" t="s">
        <v>125</v>
      </c>
      <c r="G210" s="40" t="s">
        <v>126</v>
      </c>
      <c r="H210" s="41" t="s">
        <v>127</v>
      </c>
    </row>
    <row r="211" spans="2:8" x14ac:dyDescent="0.25">
      <c r="B211" s="42" t="s">
        <v>220</v>
      </c>
      <c r="C211" s="43" t="s">
        <v>257</v>
      </c>
      <c r="D211" s="44" t="s">
        <v>135</v>
      </c>
      <c r="E211" s="38" t="s">
        <v>128</v>
      </c>
      <c r="F211" s="40"/>
      <c r="G211" s="40"/>
      <c r="H211" s="45">
        <f>SUM(H212:H212)</f>
        <v>372.87600000000003</v>
      </c>
    </row>
    <row r="212" spans="2:8" x14ac:dyDescent="0.25">
      <c r="B212" s="53"/>
      <c r="C212" s="50"/>
      <c r="D212" s="53"/>
      <c r="E212" s="49"/>
      <c r="F212">
        <v>1.05</v>
      </c>
      <c r="G212" s="54">
        <v>355.12</v>
      </c>
      <c r="H212" s="51">
        <f>F212*G212</f>
        <v>372.87600000000003</v>
      </c>
    </row>
    <row r="213" spans="2:8" x14ac:dyDescent="0.25">
      <c r="B213" s="52" t="s">
        <v>130</v>
      </c>
      <c r="C213" s="195" t="s">
        <v>131</v>
      </c>
      <c r="D213" s="196"/>
      <c r="E213" s="196"/>
      <c r="F213" s="196"/>
      <c r="G213" s="196"/>
      <c r="H213" s="197"/>
    </row>
    <row r="216" spans="2:8" ht="15.75" x14ac:dyDescent="0.25">
      <c r="B216" s="208" t="s">
        <v>258</v>
      </c>
      <c r="C216" s="209"/>
      <c r="D216" s="209"/>
      <c r="E216" s="209"/>
      <c r="F216" s="209"/>
      <c r="G216" s="209"/>
      <c r="H216" s="210"/>
    </row>
    <row r="217" spans="2:8" x14ac:dyDescent="0.25">
      <c r="B217" s="38" t="s">
        <v>121</v>
      </c>
      <c r="C217" s="39" t="s">
        <v>122</v>
      </c>
      <c r="D217" s="38" t="s">
        <v>123</v>
      </c>
      <c r="E217" s="38" t="s">
        <v>124</v>
      </c>
      <c r="F217" s="40" t="s">
        <v>125</v>
      </c>
      <c r="G217" s="40" t="s">
        <v>126</v>
      </c>
      <c r="H217" s="41" t="s">
        <v>127</v>
      </c>
    </row>
    <row r="218" spans="2:8" ht="45" x14ac:dyDescent="0.25">
      <c r="B218" s="42" t="s">
        <v>665</v>
      </c>
      <c r="C218" s="43" t="s">
        <v>248</v>
      </c>
      <c r="D218" s="44" t="s">
        <v>135</v>
      </c>
      <c r="E218" s="38" t="s">
        <v>128</v>
      </c>
      <c r="F218" s="40"/>
      <c r="G218" s="40"/>
      <c r="H218" s="45">
        <f>SUM(H222:H225)</f>
        <v>722.02459120000003</v>
      </c>
    </row>
    <row r="219" spans="2:8" x14ac:dyDescent="0.25">
      <c r="B219" s="46" t="s">
        <v>655</v>
      </c>
      <c r="C219" s="47" t="s">
        <v>965</v>
      </c>
      <c r="D219" s="72" t="s">
        <v>138</v>
      </c>
      <c r="E219" s="49" t="s">
        <v>139</v>
      </c>
      <c r="F219" s="50">
        <v>0.16300000000000001</v>
      </c>
      <c r="G219" s="51">
        <v>8.24</v>
      </c>
      <c r="H219" s="51">
        <f>F219*G219</f>
        <v>1.3431200000000001</v>
      </c>
    </row>
    <row r="220" spans="2:8" x14ac:dyDescent="0.25">
      <c r="B220" s="46" t="s">
        <v>666</v>
      </c>
      <c r="C220" s="47" t="s">
        <v>422</v>
      </c>
      <c r="D220" s="69" t="s">
        <v>138</v>
      </c>
      <c r="E220" s="49" t="s">
        <v>139</v>
      </c>
      <c r="F220" s="49">
        <v>0.65300000000000002</v>
      </c>
      <c r="G220" s="51">
        <v>8.24</v>
      </c>
      <c r="H220" s="51">
        <f>F220*G220</f>
        <v>5.3807200000000002</v>
      </c>
    </row>
    <row r="221" spans="2:8" x14ac:dyDescent="0.25">
      <c r="B221" s="46" t="s">
        <v>656</v>
      </c>
      <c r="C221" s="47" t="s">
        <v>226</v>
      </c>
      <c r="D221" s="69" t="s">
        <v>138</v>
      </c>
      <c r="E221" s="49" t="s">
        <v>139</v>
      </c>
      <c r="F221" s="49">
        <v>0.73399999999999999</v>
      </c>
      <c r="G221" s="51">
        <v>4.8600000000000003</v>
      </c>
      <c r="H221" s="51">
        <f t="shared" ref="H221:H225" si="19">F221*G221</f>
        <v>3.56724</v>
      </c>
    </row>
    <row r="222" spans="2:8" x14ac:dyDescent="0.25">
      <c r="B222" s="46"/>
      <c r="C222" s="43" t="s">
        <v>155</v>
      </c>
      <c r="D222" s="61" t="s">
        <v>156</v>
      </c>
      <c r="E222" s="38" t="s">
        <v>139</v>
      </c>
      <c r="F222" s="62">
        <v>1.1399999999999999</v>
      </c>
      <c r="G222" s="63"/>
      <c r="H222" s="63">
        <f>(SUM(H219:H221))*(1+F222)</f>
        <v>22.022911199999999</v>
      </c>
    </row>
    <row r="223" spans="2:8" ht="30" x14ac:dyDescent="0.25">
      <c r="B223" s="46" t="s">
        <v>667</v>
      </c>
      <c r="C223" s="47" t="s">
        <v>668</v>
      </c>
      <c r="D223" s="69" t="s">
        <v>135</v>
      </c>
      <c r="E223" s="49" t="s">
        <v>159</v>
      </c>
      <c r="F223" s="49">
        <v>1.0900000000000001</v>
      </c>
      <c r="G223" s="51">
        <v>355.12</v>
      </c>
      <c r="H223" s="51">
        <f t="shared" si="19"/>
        <v>387.08080000000001</v>
      </c>
    </row>
    <row r="224" spans="2:8" ht="30" x14ac:dyDescent="0.25">
      <c r="B224" s="46" t="s">
        <v>669</v>
      </c>
      <c r="C224" s="47" t="s">
        <v>670</v>
      </c>
      <c r="D224" s="72" t="s">
        <v>249</v>
      </c>
      <c r="E224" s="49" t="s">
        <v>129</v>
      </c>
      <c r="F224" s="49">
        <v>0.06</v>
      </c>
      <c r="G224" s="57">
        <v>1919.76</v>
      </c>
      <c r="H224" s="51">
        <f t="shared" si="19"/>
        <v>115.18559999999999</v>
      </c>
    </row>
    <row r="225" spans="2:8" ht="30" x14ac:dyDescent="0.25">
      <c r="B225" s="46" t="s">
        <v>671</v>
      </c>
      <c r="C225" s="47" t="s">
        <v>672</v>
      </c>
      <c r="D225" s="72" t="s">
        <v>250</v>
      </c>
      <c r="E225" s="49" t="s">
        <v>129</v>
      </c>
      <c r="F225" s="49">
        <v>0.10299999999999999</v>
      </c>
      <c r="G225" s="57">
        <v>1919.76</v>
      </c>
      <c r="H225" s="51">
        <f t="shared" si="19"/>
        <v>197.73527999999999</v>
      </c>
    </row>
    <row r="226" spans="2:8" x14ac:dyDescent="0.25">
      <c r="B226" s="52" t="s">
        <v>130</v>
      </c>
      <c r="C226" s="192" t="s">
        <v>232</v>
      </c>
      <c r="D226" s="192"/>
      <c r="E226" s="192"/>
      <c r="F226" s="192"/>
      <c r="G226" s="192"/>
      <c r="H226" s="192"/>
    </row>
    <row r="229" spans="2:8" ht="15.75" x14ac:dyDescent="0.25">
      <c r="B229" s="203" t="s">
        <v>259</v>
      </c>
      <c r="C229" s="203"/>
      <c r="D229" s="203"/>
      <c r="E229" s="203"/>
      <c r="F229" s="203"/>
      <c r="G229" s="203"/>
      <c r="H229" s="203"/>
    </row>
    <row r="230" spans="2:8" x14ac:dyDescent="0.25">
      <c r="B230" s="38" t="s">
        <v>121</v>
      </c>
      <c r="C230" s="39" t="s">
        <v>122</v>
      </c>
      <c r="D230" s="38" t="s">
        <v>123</v>
      </c>
      <c r="E230" s="38" t="s">
        <v>124</v>
      </c>
      <c r="F230" s="40" t="s">
        <v>125</v>
      </c>
      <c r="G230" s="40" t="s">
        <v>126</v>
      </c>
      <c r="H230" s="41" t="s">
        <v>127</v>
      </c>
    </row>
    <row r="231" spans="2:8" x14ac:dyDescent="0.25">
      <c r="B231" s="42"/>
      <c r="C231" s="43"/>
      <c r="D231" s="44"/>
      <c r="E231" s="38"/>
      <c r="F231" s="40"/>
      <c r="G231" s="40"/>
      <c r="H231" s="45">
        <f>SUM(H232:H234)</f>
        <v>0</v>
      </c>
    </row>
    <row r="232" spans="2:8" x14ac:dyDescent="0.25">
      <c r="B232" s="53"/>
      <c r="C232" s="47"/>
      <c r="D232" s="49"/>
      <c r="E232" s="49"/>
      <c r="F232" s="49"/>
      <c r="G232" s="40"/>
      <c r="H232" s="51">
        <f t="shared" ref="H232:H233" si="20">F232*G232</f>
        <v>0</v>
      </c>
    </row>
    <row r="233" spans="2:8" x14ac:dyDescent="0.25">
      <c r="B233" s="53"/>
      <c r="C233" s="47"/>
      <c r="D233" s="49"/>
      <c r="E233" s="49"/>
      <c r="F233" s="54"/>
      <c r="G233" s="40"/>
      <c r="H233" s="51">
        <f t="shared" si="20"/>
        <v>0</v>
      </c>
    </row>
    <row r="234" spans="2:8" ht="33" customHeight="1" x14ac:dyDescent="0.25">
      <c r="B234" s="53"/>
      <c r="C234" s="65"/>
      <c r="D234" s="49"/>
      <c r="E234" s="49"/>
      <c r="F234" s="49"/>
      <c r="G234" s="54"/>
      <c r="H234" s="51">
        <f>F234*G234</f>
        <v>0</v>
      </c>
    </row>
    <row r="235" spans="2:8" x14ac:dyDescent="0.25">
      <c r="B235" s="52" t="s">
        <v>130</v>
      </c>
      <c r="C235" s="192"/>
      <c r="D235" s="192"/>
      <c r="E235" s="192"/>
      <c r="F235" s="192"/>
      <c r="G235" s="192"/>
      <c r="H235" s="192"/>
    </row>
    <row r="238" spans="2:8" ht="15.75" x14ac:dyDescent="0.25">
      <c r="B238" s="191" t="s">
        <v>260</v>
      </c>
      <c r="C238" s="191"/>
      <c r="D238" s="191"/>
      <c r="E238" s="191"/>
      <c r="F238" s="191"/>
      <c r="G238" s="191"/>
      <c r="H238" s="191"/>
    </row>
    <row r="239" spans="2:8" x14ac:dyDescent="0.25">
      <c r="B239" s="38" t="s">
        <v>121</v>
      </c>
      <c r="C239" s="39" t="s">
        <v>122</v>
      </c>
      <c r="D239" s="38" t="s">
        <v>123</v>
      </c>
      <c r="E239" s="38" t="s">
        <v>124</v>
      </c>
      <c r="F239" s="40" t="s">
        <v>125</v>
      </c>
      <c r="G239" s="40" t="s">
        <v>126</v>
      </c>
      <c r="H239" s="41" t="s">
        <v>127</v>
      </c>
    </row>
    <row r="240" spans="2:8" ht="30" x14ac:dyDescent="0.25">
      <c r="B240" s="46" t="s">
        <v>261</v>
      </c>
      <c r="C240" s="43" t="s">
        <v>686</v>
      </c>
      <c r="D240" s="44" t="s">
        <v>117</v>
      </c>
      <c r="E240" s="38" t="s">
        <v>128</v>
      </c>
      <c r="F240" s="40"/>
      <c r="G240" s="40"/>
      <c r="H240" s="45">
        <f>SUM(H243:H245)</f>
        <v>10.474829439999999</v>
      </c>
    </row>
    <row r="241" spans="2:8" x14ac:dyDescent="0.25">
      <c r="B241" s="46" t="s">
        <v>655</v>
      </c>
      <c r="C241" s="47" t="s">
        <v>973</v>
      </c>
      <c r="D241" s="68" t="s">
        <v>138</v>
      </c>
      <c r="E241" s="49" t="s">
        <v>139</v>
      </c>
      <c r="F241" s="50">
        <v>0.25369999999999998</v>
      </c>
      <c r="G241" s="51">
        <v>8.24</v>
      </c>
      <c r="H241" s="51">
        <f>F241*G241</f>
        <v>2.0904879999999997</v>
      </c>
    </row>
    <row r="242" spans="2:8" x14ac:dyDescent="0.25">
      <c r="B242" s="46" t="s">
        <v>656</v>
      </c>
      <c r="C242" s="47" t="s">
        <v>226</v>
      </c>
      <c r="D242" s="69" t="s">
        <v>138</v>
      </c>
      <c r="E242" s="49" t="s">
        <v>139</v>
      </c>
      <c r="F242" s="49">
        <v>0.18279999999999999</v>
      </c>
      <c r="G242" s="51">
        <v>4.8600000000000003</v>
      </c>
      <c r="H242" s="51">
        <f>F242*G242</f>
        <v>0.88840799999999998</v>
      </c>
    </row>
    <row r="243" spans="2:8" x14ac:dyDescent="0.25">
      <c r="B243" s="46"/>
      <c r="C243" s="43" t="s">
        <v>155</v>
      </c>
      <c r="D243" s="61" t="s">
        <v>156</v>
      </c>
      <c r="E243" s="38" t="s">
        <v>139</v>
      </c>
      <c r="F243" s="62">
        <v>1.1399999999999999</v>
      </c>
      <c r="G243" s="63"/>
      <c r="H243" s="63">
        <f>(SUM(H241:H242))*(1+F243)</f>
        <v>6.3748374399999985</v>
      </c>
    </row>
    <row r="244" spans="2:8" ht="45" x14ac:dyDescent="0.25">
      <c r="B244" s="46" t="s">
        <v>659</v>
      </c>
      <c r="C244" s="47" t="s">
        <v>660</v>
      </c>
      <c r="D244" s="69" t="s">
        <v>117</v>
      </c>
      <c r="E244" s="49" t="s">
        <v>159</v>
      </c>
      <c r="F244" s="49">
        <v>2.8E-3</v>
      </c>
      <c r="G244" s="51">
        <v>1325.85</v>
      </c>
      <c r="H244" s="51">
        <f t="shared" ref="H244:H245" si="21">F244*G244</f>
        <v>3.7123799999999996</v>
      </c>
    </row>
    <row r="245" spans="2:8" x14ac:dyDescent="0.25">
      <c r="B245" s="46" t="s">
        <v>657</v>
      </c>
      <c r="C245" s="47" t="s">
        <v>658</v>
      </c>
      <c r="D245" s="69" t="s">
        <v>173</v>
      </c>
      <c r="E245" s="49" t="s">
        <v>159</v>
      </c>
      <c r="F245" s="49">
        <v>3.3300000000000003E-2</v>
      </c>
      <c r="G245" s="51">
        <v>11.64</v>
      </c>
      <c r="H245" s="51">
        <f t="shared" si="21"/>
        <v>0.38761200000000007</v>
      </c>
    </row>
    <row r="246" spans="2:8" x14ac:dyDescent="0.25">
      <c r="B246" s="52" t="s">
        <v>130</v>
      </c>
      <c r="C246" s="192" t="s">
        <v>232</v>
      </c>
      <c r="D246" s="192"/>
      <c r="E246" s="192"/>
      <c r="F246" s="192"/>
      <c r="G246" s="192"/>
      <c r="H246" s="192"/>
    </row>
    <row r="249" spans="2:8" ht="15.75" x14ac:dyDescent="0.25">
      <c r="B249" s="191" t="s">
        <v>262</v>
      </c>
      <c r="C249" s="191"/>
      <c r="D249" s="191"/>
      <c r="E249" s="191"/>
      <c r="F249" s="191"/>
      <c r="G249" s="191"/>
      <c r="H249" s="191"/>
    </row>
    <row r="250" spans="2:8" x14ac:dyDescent="0.25">
      <c r="B250" s="38" t="s">
        <v>121</v>
      </c>
      <c r="C250" s="39" t="s">
        <v>122</v>
      </c>
      <c r="D250" s="38" t="s">
        <v>123</v>
      </c>
      <c r="E250" s="38" t="s">
        <v>124</v>
      </c>
      <c r="F250" s="40" t="s">
        <v>125</v>
      </c>
      <c r="G250" s="40" t="s">
        <v>126</v>
      </c>
      <c r="H250" s="41" t="s">
        <v>127</v>
      </c>
    </row>
    <row r="251" spans="2:8" ht="30" x14ac:dyDescent="0.25">
      <c r="B251" s="42" t="s">
        <v>687</v>
      </c>
      <c r="C251" s="43" t="s">
        <v>688</v>
      </c>
      <c r="D251" s="44" t="s">
        <v>168</v>
      </c>
      <c r="E251" s="38" t="s">
        <v>128</v>
      </c>
      <c r="F251" s="40"/>
      <c r="G251" s="40"/>
      <c r="H251" s="45">
        <f>SUM(H254:H257)</f>
        <v>6.5190196</v>
      </c>
    </row>
    <row r="252" spans="2:8" x14ac:dyDescent="0.25">
      <c r="B252" s="46" t="s">
        <v>679</v>
      </c>
      <c r="C252" s="47" t="s">
        <v>145</v>
      </c>
      <c r="D252" s="68" t="s">
        <v>138</v>
      </c>
      <c r="E252" s="49" t="s">
        <v>139</v>
      </c>
      <c r="F252" s="50">
        <v>6.0000000000000001E-3</v>
      </c>
      <c r="G252" s="51">
        <v>5.13</v>
      </c>
      <c r="H252" s="51">
        <f>F252*G252</f>
        <v>3.0779999999999998E-2</v>
      </c>
    </row>
    <row r="253" spans="2:8" x14ac:dyDescent="0.25">
      <c r="B253" s="46" t="s">
        <v>680</v>
      </c>
      <c r="C253" s="47" t="s">
        <v>151</v>
      </c>
      <c r="D253" s="69" t="s">
        <v>138</v>
      </c>
      <c r="E253" s="49" t="s">
        <v>139</v>
      </c>
      <c r="F253" s="49">
        <v>3.9E-2</v>
      </c>
      <c r="G253" s="51">
        <v>8.24</v>
      </c>
      <c r="H253" s="51">
        <f>F253*G253</f>
        <v>0.32136000000000003</v>
      </c>
    </row>
    <row r="254" spans="2:8" x14ac:dyDescent="0.25">
      <c r="B254" s="46"/>
      <c r="C254" s="43" t="s">
        <v>155</v>
      </c>
      <c r="D254" s="61" t="s">
        <v>156</v>
      </c>
      <c r="E254" s="38" t="s">
        <v>139</v>
      </c>
      <c r="F254" s="62">
        <v>1.1399999999999999</v>
      </c>
      <c r="G254" s="63"/>
      <c r="H254" s="63">
        <f>(SUM(H252:H253))*(1+F254)</f>
        <v>0.75357959999999991</v>
      </c>
    </row>
    <row r="255" spans="2:8" ht="30" x14ac:dyDescent="0.25">
      <c r="B255" s="46" t="s">
        <v>689</v>
      </c>
      <c r="C255" s="47" t="s">
        <v>690</v>
      </c>
      <c r="D255" s="69" t="s">
        <v>117</v>
      </c>
      <c r="E255" s="49" t="s">
        <v>159</v>
      </c>
      <c r="F255" s="49">
        <v>0.71199999999999997</v>
      </c>
      <c r="G255" s="51">
        <v>7.61</v>
      </c>
      <c r="H255" s="51">
        <f t="shared" ref="H255:H257" si="22">F255*G255</f>
        <v>5.4183199999999996</v>
      </c>
    </row>
    <row r="256" spans="2:8" ht="30" x14ac:dyDescent="0.25">
      <c r="B256" s="46" t="s">
        <v>664</v>
      </c>
      <c r="C256" s="47" t="s">
        <v>681</v>
      </c>
      <c r="D256" s="69" t="s">
        <v>123</v>
      </c>
      <c r="E256" s="49" t="s">
        <v>159</v>
      </c>
      <c r="F256" s="49">
        <v>1.3819999999999999</v>
      </c>
      <c r="G256" s="51">
        <v>0.16</v>
      </c>
      <c r="H256" s="51">
        <f t="shared" si="22"/>
        <v>0.22111999999999998</v>
      </c>
    </row>
    <row r="257" spans="2:8" x14ac:dyDescent="0.25">
      <c r="B257" s="46" t="s">
        <v>684</v>
      </c>
      <c r="C257" s="47" t="s">
        <v>685</v>
      </c>
      <c r="D257" s="69" t="s">
        <v>168</v>
      </c>
      <c r="E257" s="49" t="s">
        <v>159</v>
      </c>
      <c r="F257" s="49">
        <v>1.0500000000000001E-2</v>
      </c>
      <c r="G257" s="51">
        <v>12</v>
      </c>
      <c r="H257" s="51">
        <f t="shared" si="22"/>
        <v>0.126</v>
      </c>
    </row>
    <row r="258" spans="2:8" x14ac:dyDescent="0.25">
      <c r="B258" s="52" t="s">
        <v>130</v>
      </c>
      <c r="C258" s="192" t="s">
        <v>232</v>
      </c>
      <c r="D258" s="192"/>
      <c r="E258" s="192"/>
      <c r="F258" s="192"/>
      <c r="G258" s="192"/>
      <c r="H258" s="192"/>
    </row>
    <row r="261" spans="2:8" ht="15.75" x14ac:dyDescent="0.25">
      <c r="B261" s="208" t="s">
        <v>263</v>
      </c>
      <c r="C261" s="209"/>
      <c r="D261" s="209"/>
      <c r="E261" s="209"/>
      <c r="F261" s="209"/>
      <c r="G261" s="209"/>
      <c r="H261" s="210"/>
    </row>
    <row r="262" spans="2:8" x14ac:dyDescent="0.25">
      <c r="B262" s="38" t="s">
        <v>121</v>
      </c>
      <c r="C262" s="39" t="s">
        <v>122</v>
      </c>
      <c r="D262" s="38" t="s">
        <v>123</v>
      </c>
      <c r="E262" s="38" t="s">
        <v>124</v>
      </c>
      <c r="F262" s="40" t="s">
        <v>125</v>
      </c>
      <c r="G262" s="40" t="s">
        <v>126</v>
      </c>
      <c r="H262" s="41" t="s">
        <v>127</v>
      </c>
    </row>
    <row r="263" spans="2:8" x14ac:dyDescent="0.25">
      <c r="B263" s="42" t="s">
        <v>220</v>
      </c>
      <c r="C263" s="43" t="s">
        <v>257</v>
      </c>
      <c r="D263" s="44" t="s">
        <v>135</v>
      </c>
      <c r="E263" s="38" t="s">
        <v>128</v>
      </c>
      <c r="F263" s="40"/>
      <c r="G263" s="40"/>
      <c r="H263" s="45">
        <f>SUM(H264:H264)</f>
        <v>372.87600000000003</v>
      </c>
    </row>
    <row r="264" spans="2:8" x14ac:dyDescent="0.25">
      <c r="B264" s="53"/>
      <c r="C264" s="50"/>
      <c r="D264" s="53"/>
      <c r="E264" s="49"/>
      <c r="F264">
        <v>1.05</v>
      </c>
      <c r="G264" s="54">
        <v>355.12</v>
      </c>
      <c r="H264" s="51">
        <f>F264*G264</f>
        <v>372.87600000000003</v>
      </c>
    </row>
    <row r="265" spans="2:8" x14ac:dyDescent="0.25">
      <c r="B265" s="52" t="s">
        <v>130</v>
      </c>
      <c r="C265" s="195" t="s">
        <v>131</v>
      </c>
      <c r="D265" s="196"/>
      <c r="E265" s="196"/>
      <c r="F265" s="196"/>
      <c r="G265" s="196"/>
      <c r="H265" s="197"/>
    </row>
    <row r="268" spans="2:8" ht="15.75" x14ac:dyDescent="0.25">
      <c r="B268" s="208" t="s">
        <v>258</v>
      </c>
      <c r="C268" s="209"/>
      <c r="D268" s="209"/>
      <c r="E268" s="209"/>
      <c r="F268" s="209"/>
      <c r="G268" s="209"/>
      <c r="H268" s="210"/>
    </row>
    <row r="269" spans="2:8" x14ac:dyDescent="0.25">
      <c r="B269" s="38" t="s">
        <v>121</v>
      </c>
      <c r="C269" s="39" t="s">
        <v>122</v>
      </c>
      <c r="D269" s="38" t="s">
        <v>123</v>
      </c>
      <c r="E269" s="38" t="s">
        <v>124</v>
      </c>
      <c r="F269" s="40" t="s">
        <v>125</v>
      </c>
      <c r="G269" s="40" t="s">
        <v>126</v>
      </c>
      <c r="H269" s="41" t="s">
        <v>127</v>
      </c>
    </row>
    <row r="270" spans="2:8" ht="45" x14ac:dyDescent="0.25">
      <c r="B270" s="42" t="s">
        <v>665</v>
      </c>
      <c r="C270" s="43" t="s">
        <v>248</v>
      </c>
      <c r="D270" s="44" t="s">
        <v>135</v>
      </c>
      <c r="E270" s="38" t="s">
        <v>128</v>
      </c>
      <c r="F270" s="40"/>
      <c r="G270" s="40"/>
      <c r="H270" s="45">
        <f>SUM(H274:H277)</f>
        <v>722.02459120000003</v>
      </c>
    </row>
    <row r="271" spans="2:8" x14ac:dyDescent="0.25">
      <c r="B271" s="46" t="s">
        <v>655</v>
      </c>
      <c r="C271" s="47" t="s">
        <v>965</v>
      </c>
      <c r="D271" s="72" t="s">
        <v>138</v>
      </c>
      <c r="E271" s="49" t="s">
        <v>139</v>
      </c>
      <c r="F271" s="50">
        <v>0.16300000000000001</v>
      </c>
      <c r="G271" s="51">
        <v>8.24</v>
      </c>
      <c r="H271" s="51">
        <f>F271*G271</f>
        <v>1.3431200000000001</v>
      </c>
    </row>
    <row r="272" spans="2:8" x14ac:dyDescent="0.25">
      <c r="B272" s="46" t="s">
        <v>666</v>
      </c>
      <c r="C272" s="47" t="s">
        <v>422</v>
      </c>
      <c r="D272" s="69" t="s">
        <v>138</v>
      </c>
      <c r="E272" s="49" t="s">
        <v>139</v>
      </c>
      <c r="F272" s="49">
        <v>0.65300000000000002</v>
      </c>
      <c r="G272" s="51">
        <v>8.24</v>
      </c>
      <c r="H272" s="51">
        <f>F272*G272</f>
        <v>5.3807200000000002</v>
      </c>
    </row>
    <row r="273" spans="2:8" x14ac:dyDescent="0.25">
      <c r="B273" s="46" t="s">
        <v>656</v>
      </c>
      <c r="C273" s="47" t="s">
        <v>226</v>
      </c>
      <c r="D273" s="69" t="s">
        <v>138</v>
      </c>
      <c r="E273" s="49" t="s">
        <v>139</v>
      </c>
      <c r="F273" s="49">
        <v>0.73399999999999999</v>
      </c>
      <c r="G273" s="51">
        <v>4.8600000000000003</v>
      </c>
      <c r="H273" s="51">
        <f t="shared" ref="H273:H277" si="23">F273*G273</f>
        <v>3.56724</v>
      </c>
    </row>
    <row r="274" spans="2:8" x14ac:dyDescent="0.25">
      <c r="B274" s="46"/>
      <c r="C274" s="43" t="s">
        <v>155</v>
      </c>
      <c r="D274" s="61" t="s">
        <v>156</v>
      </c>
      <c r="E274" s="38" t="s">
        <v>139</v>
      </c>
      <c r="F274" s="62">
        <v>1.1399999999999999</v>
      </c>
      <c r="G274" s="63"/>
      <c r="H274" s="63">
        <f>(SUM(H271:H273))*(1+F274)</f>
        <v>22.022911199999999</v>
      </c>
    </row>
    <row r="275" spans="2:8" ht="30" x14ac:dyDescent="0.25">
      <c r="B275" s="46" t="s">
        <v>667</v>
      </c>
      <c r="C275" s="47" t="s">
        <v>668</v>
      </c>
      <c r="D275" s="69" t="s">
        <v>135</v>
      </c>
      <c r="E275" s="49" t="s">
        <v>159</v>
      </c>
      <c r="F275" s="49">
        <v>1.0900000000000001</v>
      </c>
      <c r="G275" s="51">
        <v>355.12</v>
      </c>
      <c r="H275" s="51">
        <f t="shared" si="23"/>
        <v>387.08080000000001</v>
      </c>
    </row>
    <row r="276" spans="2:8" ht="30" x14ac:dyDescent="0.25">
      <c r="B276" s="46" t="s">
        <v>669</v>
      </c>
      <c r="C276" s="47" t="s">
        <v>670</v>
      </c>
      <c r="D276" s="72" t="s">
        <v>249</v>
      </c>
      <c r="E276" s="49" t="s">
        <v>129</v>
      </c>
      <c r="F276" s="49">
        <v>0.06</v>
      </c>
      <c r="G276" s="57">
        <v>1919.76</v>
      </c>
      <c r="H276" s="51">
        <f t="shared" si="23"/>
        <v>115.18559999999999</v>
      </c>
    </row>
    <row r="277" spans="2:8" ht="30" x14ac:dyDescent="0.25">
      <c r="B277" s="46" t="s">
        <v>671</v>
      </c>
      <c r="C277" s="47" t="s">
        <v>672</v>
      </c>
      <c r="D277" s="72" t="s">
        <v>250</v>
      </c>
      <c r="E277" s="49" t="s">
        <v>129</v>
      </c>
      <c r="F277" s="49">
        <v>0.10299999999999999</v>
      </c>
      <c r="G277" s="57">
        <v>1919.76</v>
      </c>
      <c r="H277" s="51">
        <f t="shared" si="23"/>
        <v>197.73527999999999</v>
      </c>
    </row>
    <row r="278" spans="2:8" x14ac:dyDescent="0.25">
      <c r="B278" s="52" t="s">
        <v>130</v>
      </c>
      <c r="C278" s="192" t="s">
        <v>232</v>
      </c>
      <c r="D278" s="192"/>
      <c r="E278" s="192"/>
      <c r="F278" s="192"/>
      <c r="G278" s="192"/>
      <c r="H278" s="192"/>
    </row>
    <row r="281" spans="2:8" ht="15.75" x14ac:dyDescent="0.25">
      <c r="B281" s="203" t="s">
        <v>264</v>
      </c>
      <c r="C281" s="203"/>
      <c r="D281" s="203"/>
      <c r="E281" s="203"/>
      <c r="F281" s="203"/>
      <c r="G281" s="203"/>
      <c r="H281" s="203"/>
    </row>
    <row r="282" spans="2:8" x14ac:dyDescent="0.25">
      <c r="B282" s="38" t="s">
        <v>121</v>
      </c>
      <c r="C282" s="39" t="s">
        <v>122</v>
      </c>
      <c r="D282" s="38" t="s">
        <v>123</v>
      </c>
      <c r="E282" s="38" t="s">
        <v>124</v>
      </c>
      <c r="F282" s="40" t="s">
        <v>125</v>
      </c>
      <c r="G282" s="40" t="s">
        <v>126</v>
      </c>
      <c r="H282" s="41" t="s">
        <v>127</v>
      </c>
    </row>
    <row r="283" spans="2:8" x14ac:dyDescent="0.25">
      <c r="B283" s="42" t="s">
        <v>691</v>
      </c>
      <c r="C283" s="43" t="s">
        <v>692</v>
      </c>
      <c r="D283" s="44" t="s">
        <v>123</v>
      </c>
      <c r="E283" s="38" t="s">
        <v>128</v>
      </c>
      <c r="F283" s="40"/>
      <c r="G283" s="40"/>
      <c r="H283" s="45">
        <f>SUM(H284:H286)</f>
        <v>0</v>
      </c>
    </row>
    <row r="284" spans="2:8" ht="48.75" customHeight="1" x14ac:dyDescent="0.25">
      <c r="B284" s="53"/>
      <c r="C284" s="47" t="s">
        <v>693</v>
      </c>
      <c r="D284" s="49" t="s">
        <v>265</v>
      </c>
      <c r="E284" s="49">
        <v>1</v>
      </c>
      <c r="F284" s="49"/>
      <c r="G284" s="40"/>
      <c r="H284" s="51">
        <f t="shared" ref="H284:H285" si="24">F284*G284</f>
        <v>0</v>
      </c>
    </row>
    <row r="285" spans="2:8" x14ac:dyDescent="0.25">
      <c r="B285" s="53"/>
      <c r="C285" s="47"/>
      <c r="D285" s="49"/>
      <c r="E285" s="49"/>
      <c r="F285" s="54"/>
      <c r="G285" s="40"/>
      <c r="H285" s="51">
        <f t="shared" si="24"/>
        <v>0</v>
      </c>
    </row>
    <row r="286" spans="2:8" ht="33" customHeight="1" x14ac:dyDescent="0.25">
      <c r="B286" s="53"/>
      <c r="C286" s="65"/>
      <c r="D286" s="49"/>
      <c r="E286" s="49"/>
      <c r="F286" s="49"/>
      <c r="G286" s="54"/>
      <c r="H286" s="51">
        <f>F286*G286</f>
        <v>0</v>
      </c>
    </row>
    <row r="287" spans="2:8" x14ac:dyDescent="0.25">
      <c r="B287" s="52" t="s">
        <v>130</v>
      </c>
      <c r="C287" s="192"/>
      <c r="D287" s="192"/>
      <c r="E287" s="192"/>
      <c r="F287" s="192"/>
      <c r="G287" s="192"/>
      <c r="H287" s="192"/>
    </row>
    <row r="290" spans="2:8" ht="15.75" x14ac:dyDescent="0.25">
      <c r="B290" s="205" t="s">
        <v>266</v>
      </c>
      <c r="C290" s="206"/>
      <c r="D290" s="206"/>
      <c r="E290" s="206"/>
      <c r="F290" s="206"/>
      <c r="G290" s="206"/>
      <c r="H290" s="207"/>
    </row>
    <row r="291" spans="2:8" x14ac:dyDescent="0.25">
      <c r="B291" s="38" t="s">
        <v>121</v>
      </c>
      <c r="C291" s="39" t="s">
        <v>122</v>
      </c>
      <c r="D291" s="38" t="s">
        <v>123</v>
      </c>
      <c r="E291" s="38" t="s">
        <v>124</v>
      </c>
      <c r="F291" s="40" t="s">
        <v>125</v>
      </c>
      <c r="G291" s="40" t="s">
        <v>126</v>
      </c>
      <c r="H291" s="41" t="s">
        <v>127</v>
      </c>
    </row>
    <row r="292" spans="2:8" x14ac:dyDescent="0.25">
      <c r="B292" s="42"/>
      <c r="C292" s="43"/>
      <c r="D292" s="44"/>
      <c r="E292" s="38" t="s">
        <v>128</v>
      </c>
      <c r="F292" s="40"/>
      <c r="G292" s="40"/>
      <c r="H292" s="45">
        <f>SUM(H293:H296)</f>
        <v>0</v>
      </c>
    </row>
    <row r="293" spans="2:8" x14ac:dyDescent="0.25">
      <c r="B293" s="46"/>
      <c r="C293" s="47"/>
      <c r="E293" s="49"/>
      <c r="F293" s="50">
        <v>0.9</v>
      </c>
      <c r="G293" s="51"/>
      <c r="H293" s="51">
        <f>F293*G293</f>
        <v>0</v>
      </c>
    </row>
    <row r="294" spans="2:8" x14ac:dyDescent="0.25">
      <c r="B294" s="46"/>
      <c r="C294" s="47"/>
      <c r="D294" s="69"/>
      <c r="E294" s="49"/>
      <c r="F294" s="51"/>
      <c r="G294" s="51"/>
      <c r="H294" s="51">
        <f>F294*G294</f>
        <v>0</v>
      </c>
    </row>
    <row r="295" spans="2:8" x14ac:dyDescent="0.25">
      <c r="B295" s="46"/>
      <c r="C295" s="47"/>
      <c r="D295" s="69"/>
      <c r="E295" s="49"/>
      <c r="F295" s="51"/>
      <c r="G295" s="51"/>
      <c r="H295" s="51">
        <f t="shared" ref="H295:H296" si="25">F295*G295</f>
        <v>0</v>
      </c>
    </row>
    <row r="296" spans="2:8" x14ac:dyDescent="0.25">
      <c r="B296" s="46"/>
      <c r="C296" s="47"/>
      <c r="D296" s="69"/>
      <c r="E296" s="49"/>
      <c r="F296" s="51"/>
      <c r="G296" s="51"/>
      <c r="H296" s="51">
        <f t="shared" si="25"/>
        <v>0</v>
      </c>
    </row>
    <row r="297" spans="2:8" x14ac:dyDescent="0.25">
      <c r="B297" s="52" t="s">
        <v>130</v>
      </c>
      <c r="C297" s="195" t="s">
        <v>131</v>
      </c>
      <c r="D297" s="196"/>
      <c r="E297" s="196"/>
      <c r="F297" s="196"/>
      <c r="G297" s="196"/>
      <c r="H297" s="197"/>
    </row>
    <row r="300" spans="2:8" ht="15.75" x14ac:dyDescent="0.25">
      <c r="B300" s="205" t="s">
        <v>267</v>
      </c>
      <c r="C300" s="206"/>
      <c r="D300" s="206"/>
      <c r="E300" s="206"/>
      <c r="F300" s="206"/>
      <c r="G300" s="206"/>
      <c r="H300" s="207"/>
    </row>
    <row r="301" spans="2:8" x14ac:dyDescent="0.25">
      <c r="B301" s="38" t="s">
        <v>121</v>
      </c>
      <c r="C301" s="39" t="s">
        <v>122</v>
      </c>
      <c r="D301" s="38" t="s">
        <v>123</v>
      </c>
      <c r="E301" s="38" t="s">
        <v>124</v>
      </c>
      <c r="F301" s="40" t="s">
        <v>125</v>
      </c>
      <c r="G301" s="40" t="s">
        <v>126</v>
      </c>
      <c r="H301" s="41" t="s">
        <v>127</v>
      </c>
    </row>
    <row r="302" spans="2:8" x14ac:dyDescent="0.25">
      <c r="B302" s="42"/>
      <c r="C302" s="43"/>
      <c r="D302" s="44"/>
      <c r="E302" s="38"/>
      <c r="F302" s="40"/>
      <c r="G302" s="40"/>
      <c r="H302" s="45">
        <f>SUM(H303:H305)</f>
        <v>0</v>
      </c>
    </row>
    <row r="303" spans="2:8" x14ac:dyDescent="0.25">
      <c r="B303" s="53"/>
      <c r="C303" s="43"/>
      <c r="D303" s="53"/>
      <c r="E303" s="49"/>
      <c r="G303" s="54"/>
      <c r="H303" s="51">
        <f>F303*G303</f>
        <v>0</v>
      </c>
    </row>
    <row r="304" spans="2:8" x14ac:dyDescent="0.25">
      <c r="B304" s="53"/>
      <c r="C304" s="43"/>
      <c r="D304" s="53"/>
      <c r="E304" s="49"/>
      <c r="F304" s="51"/>
      <c r="G304" s="54"/>
      <c r="H304" s="51">
        <f t="shared" ref="H304:H305" si="26">F304*G304</f>
        <v>0</v>
      </c>
    </row>
    <row r="305" spans="2:8" x14ac:dyDescent="0.25">
      <c r="B305" s="53"/>
      <c r="C305" s="43"/>
      <c r="D305" s="53"/>
      <c r="E305" s="49"/>
      <c r="F305" s="51"/>
      <c r="G305" s="54"/>
      <c r="H305" s="51">
        <f t="shared" si="26"/>
        <v>0</v>
      </c>
    </row>
    <row r="306" spans="2:8" x14ac:dyDescent="0.25">
      <c r="B306" s="52" t="s">
        <v>130</v>
      </c>
      <c r="C306" s="195" t="s">
        <v>131</v>
      </c>
      <c r="D306" s="196"/>
      <c r="E306" s="196"/>
      <c r="F306" s="196"/>
      <c r="G306" s="196"/>
      <c r="H306" s="197"/>
    </row>
    <row r="309" spans="2:8" ht="15.75" x14ac:dyDescent="0.25">
      <c r="B309" s="208" t="s">
        <v>268</v>
      </c>
      <c r="C309" s="209"/>
      <c r="D309" s="209"/>
      <c r="E309" s="209"/>
      <c r="F309" s="209"/>
      <c r="G309" s="209"/>
      <c r="H309" s="210"/>
    </row>
    <row r="310" spans="2:8" x14ac:dyDescent="0.25">
      <c r="B310" s="38" t="s">
        <v>121</v>
      </c>
      <c r="C310" s="39" t="s">
        <v>122</v>
      </c>
      <c r="D310" s="38" t="s">
        <v>123</v>
      </c>
      <c r="E310" s="38" t="s">
        <v>124</v>
      </c>
      <c r="F310" s="40" t="s">
        <v>125</v>
      </c>
      <c r="G310" s="40" t="s">
        <v>126</v>
      </c>
      <c r="H310" s="41" t="s">
        <v>127</v>
      </c>
    </row>
    <row r="311" spans="2:8" ht="30" x14ac:dyDescent="0.25">
      <c r="B311" s="42" t="s">
        <v>269</v>
      </c>
      <c r="C311" s="43" t="s">
        <v>270</v>
      </c>
      <c r="D311" s="44" t="s">
        <v>117</v>
      </c>
      <c r="E311" s="38" t="s">
        <v>128</v>
      </c>
      <c r="F311" s="40"/>
      <c r="G311" s="40"/>
      <c r="H311" s="45">
        <f>SUM(H314:H316)</f>
        <v>57.728693999999997</v>
      </c>
    </row>
    <row r="312" spans="2:8" x14ac:dyDescent="0.25">
      <c r="B312" s="46" t="s">
        <v>271</v>
      </c>
      <c r="C312" s="47" t="s">
        <v>147</v>
      </c>
      <c r="D312" t="s">
        <v>138</v>
      </c>
      <c r="E312" s="49" t="s">
        <v>272</v>
      </c>
      <c r="F312" s="50">
        <v>0.9</v>
      </c>
      <c r="G312" s="51">
        <v>5.13</v>
      </c>
      <c r="H312" s="51">
        <f>F312*G312</f>
        <v>4.617</v>
      </c>
    </row>
    <row r="313" spans="2:8" x14ac:dyDescent="0.25">
      <c r="B313" s="46" t="s">
        <v>148</v>
      </c>
      <c r="C313" s="47" t="s">
        <v>149</v>
      </c>
      <c r="D313" s="69" t="s">
        <v>138</v>
      </c>
      <c r="E313" s="49" t="s">
        <v>272</v>
      </c>
      <c r="F313" s="51">
        <v>0.9</v>
      </c>
      <c r="G313" s="51">
        <v>8.24</v>
      </c>
      <c r="H313" s="51">
        <f>F313*G313</f>
        <v>7.4160000000000004</v>
      </c>
    </row>
    <row r="314" spans="2:8" x14ac:dyDescent="0.25">
      <c r="B314" s="46"/>
      <c r="C314" s="43" t="s">
        <v>155</v>
      </c>
      <c r="D314" s="61" t="s">
        <v>156</v>
      </c>
      <c r="E314" s="38" t="s">
        <v>139</v>
      </c>
      <c r="F314" s="62">
        <v>1.1399999999999999</v>
      </c>
      <c r="G314" s="63"/>
      <c r="H314" s="63">
        <f>(SUM(H312:H313))*(1+F314)</f>
        <v>25.750619999999998</v>
      </c>
    </row>
    <row r="315" spans="2:8" x14ac:dyDescent="0.25">
      <c r="B315" s="46" t="s">
        <v>273</v>
      </c>
      <c r="C315" s="47" t="s">
        <v>274</v>
      </c>
      <c r="D315" s="69" t="s">
        <v>168</v>
      </c>
      <c r="E315" s="49" t="s">
        <v>159</v>
      </c>
      <c r="F315" s="51">
        <v>0.12</v>
      </c>
      <c r="G315" s="51">
        <v>10.050000000000001</v>
      </c>
      <c r="H315" s="51">
        <f t="shared" ref="H315:H316" si="27">F315*G315</f>
        <v>1.206</v>
      </c>
    </row>
    <row r="316" spans="2:8" x14ac:dyDescent="0.25">
      <c r="B316" s="46" t="s">
        <v>275</v>
      </c>
      <c r="C316" s="47" t="s">
        <v>276</v>
      </c>
      <c r="D316" s="69" t="s">
        <v>135</v>
      </c>
      <c r="E316" s="49" t="s">
        <v>159</v>
      </c>
      <c r="F316" s="51">
        <v>1.0200000000000001E-2</v>
      </c>
      <c r="G316" s="57">
        <v>3016.87</v>
      </c>
      <c r="H316" s="51">
        <f t="shared" si="27"/>
        <v>30.772074</v>
      </c>
    </row>
    <row r="317" spans="2:8" x14ac:dyDescent="0.25">
      <c r="B317" s="52" t="s">
        <v>130</v>
      </c>
      <c r="C317" s="195" t="s">
        <v>131</v>
      </c>
      <c r="D317" s="196"/>
      <c r="E317" s="196"/>
      <c r="F317" s="196"/>
      <c r="G317" s="196"/>
      <c r="H317" s="197"/>
    </row>
    <row r="320" spans="2:8" ht="15.75" x14ac:dyDescent="0.25">
      <c r="B320" s="201" t="s">
        <v>277</v>
      </c>
      <c r="C320" s="191"/>
      <c r="D320" s="191"/>
      <c r="E320" s="191"/>
      <c r="F320" s="191"/>
      <c r="G320" s="191"/>
      <c r="H320" s="191"/>
    </row>
    <row r="321" spans="2:8" x14ac:dyDescent="0.25">
      <c r="B321" s="38" t="s">
        <v>121</v>
      </c>
      <c r="C321" s="39" t="s">
        <v>122</v>
      </c>
      <c r="D321" s="38" t="s">
        <v>123</v>
      </c>
      <c r="E321" s="38" t="s">
        <v>124</v>
      </c>
      <c r="F321" s="40" t="s">
        <v>125</v>
      </c>
      <c r="G321" s="40" t="s">
        <v>126</v>
      </c>
      <c r="H321" s="41" t="s">
        <v>127</v>
      </c>
    </row>
    <row r="322" spans="2:8" ht="45" x14ac:dyDescent="0.25">
      <c r="B322" s="42" t="s">
        <v>278</v>
      </c>
      <c r="C322" s="43" t="s">
        <v>279</v>
      </c>
      <c r="D322" s="44" t="s">
        <v>117</v>
      </c>
      <c r="E322" s="38" t="s">
        <v>128</v>
      </c>
      <c r="F322" s="40"/>
      <c r="G322" s="40"/>
      <c r="H322" s="45">
        <f>SUM(H325:H330)</f>
        <v>17.760299999999997</v>
      </c>
    </row>
    <row r="323" spans="2:8" x14ac:dyDescent="0.25">
      <c r="B323" s="46" t="s">
        <v>280</v>
      </c>
      <c r="C323" s="47" t="s">
        <v>281</v>
      </c>
      <c r="D323" s="69" t="s">
        <v>138</v>
      </c>
      <c r="E323" s="49" t="s">
        <v>272</v>
      </c>
      <c r="F323" s="51">
        <v>0.6</v>
      </c>
      <c r="G323" s="51">
        <v>5.13</v>
      </c>
      <c r="H323" s="51">
        <f>F323*G323</f>
        <v>3.0779999999999998</v>
      </c>
    </row>
    <row r="324" spans="2:8" x14ac:dyDescent="0.25">
      <c r="B324" s="46" t="s">
        <v>282</v>
      </c>
      <c r="C324" s="47" t="s">
        <v>283</v>
      </c>
      <c r="D324" s="69" t="s">
        <v>138</v>
      </c>
      <c r="E324" s="49" t="s">
        <v>272</v>
      </c>
      <c r="F324" s="51">
        <v>0.3</v>
      </c>
      <c r="G324" s="51">
        <v>8.24</v>
      </c>
      <c r="H324" s="51">
        <f t="shared" ref="H324:H328" si="28">F324*G324</f>
        <v>2.472</v>
      </c>
    </row>
    <row r="325" spans="2:8" x14ac:dyDescent="0.25">
      <c r="B325" s="46"/>
      <c r="C325" s="43" t="s">
        <v>155</v>
      </c>
      <c r="D325" s="61" t="s">
        <v>156</v>
      </c>
      <c r="E325" s="38" t="s">
        <v>139</v>
      </c>
      <c r="F325" s="62">
        <v>1.1399999999999999</v>
      </c>
      <c r="G325" s="63"/>
      <c r="H325" s="63">
        <f>(SUM(H323:H324))*(1+F325)</f>
        <v>11.876999999999997</v>
      </c>
    </row>
    <row r="326" spans="2:8" ht="30" x14ac:dyDescent="0.25">
      <c r="B326" s="46" t="s">
        <v>284</v>
      </c>
      <c r="C326" s="47" t="s">
        <v>285</v>
      </c>
      <c r="D326" s="69" t="s">
        <v>123</v>
      </c>
      <c r="E326" s="49" t="s">
        <v>159</v>
      </c>
      <c r="F326" s="51">
        <v>1.1100000000000001</v>
      </c>
      <c r="G326" s="51">
        <v>1.29</v>
      </c>
      <c r="H326" s="51">
        <f t="shared" si="28"/>
        <v>1.4319000000000002</v>
      </c>
    </row>
    <row r="327" spans="2:8" ht="30" x14ac:dyDescent="0.25">
      <c r="B327" s="46" t="s">
        <v>286</v>
      </c>
      <c r="C327" s="47" t="s">
        <v>287</v>
      </c>
      <c r="D327" s="69" t="s">
        <v>117</v>
      </c>
      <c r="E327" s="49" t="s">
        <v>159</v>
      </c>
      <c r="F327" s="51">
        <v>1.24</v>
      </c>
      <c r="G327" s="51"/>
      <c r="H327" s="51">
        <f t="shared" si="28"/>
        <v>0</v>
      </c>
    </row>
    <row r="328" spans="2:8" x14ac:dyDescent="0.25">
      <c r="B328" s="46" t="s">
        <v>288</v>
      </c>
      <c r="C328" s="47" t="s">
        <v>289</v>
      </c>
      <c r="D328" s="69" t="s">
        <v>123</v>
      </c>
      <c r="E328" s="49" t="s">
        <v>159</v>
      </c>
      <c r="F328" s="51">
        <v>1.1100000000000001</v>
      </c>
      <c r="G328" s="51">
        <v>2.5299999999999998</v>
      </c>
      <c r="H328" s="51">
        <f t="shared" si="28"/>
        <v>2.8083</v>
      </c>
    </row>
    <row r="329" spans="2:8" x14ac:dyDescent="0.25">
      <c r="B329" s="46" t="s">
        <v>290</v>
      </c>
      <c r="C329" s="47" t="s">
        <v>291</v>
      </c>
      <c r="D329" s="69" t="s">
        <v>123</v>
      </c>
      <c r="E329" s="49" t="s">
        <v>159</v>
      </c>
      <c r="F329" s="51">
        <v>1.1100000000000001</v>
      </c>
      <c r="G329" s="51">
        <v>0.21</v>
      </c>
      <c r="H329" s="51">
        <f>F329*G329</f>
        <v>0.2331</v>
      </c>
    </row>
    <row r="330" spans="2:8" x14ac:dyDescent="0.25">
      <c r="B330" s="46" t="s">
        <v>292</v>
      </c>
      <c r="C330" s="47" t="s">
        <v>293</v>
      </c>
      <c r="D330" s="69" t="s">
        <v>123</v>
      </c>
      <c r="E330" s="49" t="s">
        <v>159</v>
      </c>
      <c r="F330" s="51">
        <v>1</v>
      </c>
      <c r="G330" s="51">
        <v>1.41</v>
      </c>
      <c r="H330" s="51">
        <f t="shared" ref="H330" si="29">F330*G330</f>
        <v>1.41</v>
      </c>
    </row>
    <row r="331" spans="2:8" x14ac:dyDescent="0.25">
      <c r="B331" s="52" t="s">
        <v>130</v>
      </c>
      <c r="C331" s="192" t="s">
        <v>131</v>
      </c>
      <c r="D331" s="192"/>
      <c r="E331" s="192"/>
      <c r="F331" s="192"/>
      <c r="G331" s="192"/>
      <c r="H331" s="192"/>
    </row>
    <row r="334" spans="2:8" ht="15.75" x14ac:dyDescent="0.25">
      <c r="B334" s="201" t="s">
        <v>294</v>
      </c>
      <c r="C334" s="191"/>
      <c r="D334" s="191"/>
      <c r="E334" s="191"/>
      <c r="F334" s="191"/>
      <c r="G334" s="191"/>
      <c r="H334" s="191"/>
    </row>
    <row r="335" spans="2:8" x14ac:dyDescent="0.25">
      <c r="B335" s="38" t="s">
        <v>121</v>
      </c>
      <c r="C335" s="39" t="s">
        <v>122</v>
      </c>
      <c r="D335" s="38" t="s">
        <v>123</v>
      </c>
      <c r="E335" s="38" t="s">
        <v>124</v>
      </c>
      <c r="F335" s="40" t="s">
        <v>125</v>
      </c>
      <c r="G335" s="40" t="s">
        <v>126</v>
      </c>
      <c r="H335" s="41" t="s">
        <v>127</v>
      </c>
    </row>
    <row r="336" spans="2:8" x14ac:dyDescent="0.25">
      <c r="B336" s="42" t="s">
        <v>295</v>
      </c>
      <c r="C336" s="74" t="s">
        <v>296</v>
      </c>
      <c r="D336" s="44" t="s">
        <v>143</v>
      </c>
      <c r="E336" s="38" t="s">
        <v>128</v>
      </c>
      <c r="F336" s="40"/>
      <c r="G336" s="40"/>
      <c r="H336" s="45">
        <f>SUM(H339:H341)</f>
        <v>26.2532</v>
      </c>
    </row>
    <row r="337" spans="2:8" x14ac:dyDescent="0.25">
      <c r="B337" s="46" t="s">
        <v>297</v>
      </c>
      <c r="C337" s="47" t="s">
        <v>281</v>
      </c>
      <c r="D337" s="69" t="s">
        <v>138</v>
      </c>
      <c r="E337" s="49" t="s">
        <v>272</v>
      </c>
      <c r="F337" s="51">
        <v>0.5</v>
      </c>
      <c r="G337" s="51">
        <v>5.13</v>
      </c>
      <c r="H337" s="51">
        <f>F337*G337</f>
        <v>2.5649999999999999</v>
      </c>
    </row>
    <row r="338" spans="2:8" x14ac:dyDescent="0.25">
      <c r="B338" s="46" t="s">
        <v>282</v>
      </c>
      <c r="C338" s="47" t="s">
        <v>298</v>
      </c>
      <c r="D338" s="69" t="s">
        <v>138</v>
      </c>
      <c r="E338" s="49" t="s">
        <v>272</v>
      </c>
      <c r="F338" s="51">
        <v>0.5</v>
      </c>
      <c r="G338" s="51">
        <v>8.24</v>
      </c>
      <c r="H338" s="51">
        <f t="shared" ref="H338:H341" si="30">F338*G338</f>
        <v>4.12</v>
      </c>
    </row>
    <row r="339" spans="2:8" x14ac:dyDescent="0.25">
      <c r="B339" s="46"/>
      <c r="C339" s="43" t="s">
        <v>155</v>
      </c>
      <c r="D339" s="61" t="s">
        <v>156</v>
      </c>
      <c r="E339" s="38" t="s">
        <v>139</v>
      </c>
      <c r="F339" s="62">
        <v>1.1399999999999999</v>
      </c>
      <c r="G339" s="63"/>
      <c r="H339" s="63">
        <f>(SUM(H337:H338))*(1+F339)</f>
        <v>14.305899999999999</v>
      </c>
    </row>
    <row r="340" spans="2:8" x14ac:dyDescent="0.25">
      <c r="B340" s="46" t="s">
        <v>299</v>
      </c>
      <c r="C340" s="47" t="s">
        <v>300</v>
      </c>
      <c r="D340" s="69" t="s">
        <v>168</v>
      </c>
      <c r="E340" s="49" t="s">
        <v>159</v>
      </c>
      <c r="F340" s="51">
        <v>7.0000000000000007E-2</v>
      </c>
      <c r="G340" s="51">
        <v>11.32</v>
      </c>
      <c r="H340" s="51">
        <f t="shared" si="30"/>
        <v>0.7924000000000001</v>
      </c>
    </row>
    <row r="341" spans="2:8" x14ac:dyDescent="0.25">
      <c r="B341" s="46" t="s">
        <v>301</v>
      </c>
      <c r="C341" s="47" t="s">
        <v>302</v>
      </c>
      <c r="D341" s="69" t="s">
        <v>143</v>
      </c>
      <c r="E341" s="49" t="s">
        <v>159</v>
      </c>
      <c r="F341" s="51">
        <v>1.03</v>
      </c>
      <c r="G341" s="51">
        <v>10.83</v>
      </c>
      <c r="H341" s="51">
        <f t="shared" si="30"/>
        <v>11.1549</v>
      </c>
    </row>
    <row r="342" spans="2:8" x14ac:dyDescent="0.25">
      <c r="B342" s="52" t="s">
        <v>130</v>
      </c>
      <c r="C342" s="192" t="s">
        <v>131</v>
      </c>
      <c r="D342" s="192"/>
      <c r="E342" s="192"/>
      <c r="F342" s="192"/>
      <c r="G342" s="192"/>
      <c r="H342" s="192"/>
    </row>
    <row r="345" spans="2:8" ht="15.75" x14ac:dyDescent="0.25">
      <c r="B345" s="191" t="s">
        <v>303</v>
      </c>
      <c r="C345" s="191"/>
      <c r="D345" s="191"/>
      <c r="E345" s="191"/>
      <c r="F345" s="191"/>
      <c r="G345" s="191"/>
      <c r="H345" s="191"/>
    </row>
    <row r="346" spans="2:8" x14ac:dyDescent="0.25">
      <c r="B346" s="38" t="s">
        <v>121</v>
      </c>
      <c r="C346" s="39" t="s">
        <v>122</v>
      </c>
      <c r="D346" s="38" t="s">
        <v>123</v>
      </c>
      <c r="E346" s="38" t="s">
        <v>124</v>
      </c>
      <c r="F346" s="40" t="s">
        <v>125</v>
      </c>
      <c r="G346" s="40" t="s">
        <v>126</v>
      </c>
      <c r="H346" s="41" t="s">
        <v>127</v>
      </c>
    </row>
    <row r="347" spans="2:8" x14ac:dyDescent="0.25">
      <c r="B347" s="42" t="s">
        <v>304</v>
      </c>
      <c r="C347" s="74" t="s">
        <v>305</v>
      </c>
      <c r="D347" s="44" t="s">
        <v>143</v>
      </c>
      <c r="E347" s="38" t="s">
        <v>128</v>
      </c>
      <c r="F347" s="40"/>
      <c r="G347" s="40"/>
      <c r="H347" s="45">
        <f>SUM(H350:H354)</f>
        <v>59.384839999999983</v>
      </c>
    </row>
    <row r="348" spans="2:8" x14ac:dyDescent="0.25">
      <c r="B348" s="46" t="s">
        <v>306</v>
      </c>
      <c r="C348" s="47" t="s">
        <v>281</v>
      </c>
      <c r="D348" s="69" t="s">
        <v>138</v>
      </c>
      <c r="E348" s="49" t="s">
        <v>272</v>
      </c>
      <c r="F348" s="51">
        <v>1.3</v>
      </c>
      <c r="G348" s="51">
        <v>5.13</v>
      </c>
      <c r="H348" s="51">
        <f>F348*G348</f>
        <v>6.6690000000000005</v>
      </c>
    </row>
    <row r="349" spans="2:8" x14ac:dyDescent="0.25">
      <c r="B349" s="46" t="s">
        <v>307</v>
      </c>
      <c r="C349" s="47" t="s">
        <v>298</v>
      </c>
      <c r="D349" s="69" t="s">
        <v>138</v>
      </c>
      <c r="E349" s="49" t="s">
        <v>272</v>
      </c>
      <c r="F349" s="51">
        <v>1.3</v>
      </c>
      <c r="G349" s="51">
        <v>8.24</v>
      </c>
      <c r="H349" s="51">
        <f t="shared" ref="H349:H353" si="31">F349*G349</f>
        <v>10.712000000000002</v>
      </c>
    </row>
    <row r="350" spans="2:8" x14ac:dyDescent="0.25">
      <c r="B350" s="46"/>
      <c r="C350" s="43" t="s">
        <v>155</v>
      </c>
      <c r="D350" s="61" t="s">
        <v>156</v>
      </c>
      <c r="E350" s="38" t="s">
        <v>139</v>
      </c>
      <c r="F350" s="62">
        <v>1.1399999999999999</v>
      </c>
      <c r="G350" s="63"/>
      <c r="H350" s="63">
        <f>(SUM(H348:H349))*(1+F350)</f>
        <v>37.195339999999995</v>
      </c>
    </row>
    <row r="351" spans="2:8" x14ac:dyDescent="0.25">
      <c r="B351" s="46" t="s">
        <v>208</v>
      </c>
      <c r="C351" s="47" t="s">
        <v>300</v>
      </c>
      <c r="D351" s="69" t="s">
        <v>168</v>
      </c>
      <c r="E351" s="49" t="s">
        <v>159</v>
      </c>
      <c r="F351" s="51">
        <v>0.09</v>
      </c>
      <c r="G351" s="51">
        <v>11.32</v>
      </c>
      <c r="H351" s="51">
        <f t="shared" si="31"/>
        <v>1.0187999999999999</v>
      </c>
    </row>
    <row r="352" spans="2:8" x14ac:dyDescent="0.25">
      <c r="B352" s="46" t="s">
        <v>308</v>
      </c>
      <c r="C352" s="47" t="s">
        <v>309</v>
      </c>
      <c r="D352" s="69" t="s">
        <v>168</v>
      </c>
      <c r="E352" s="49" t="s">
        <v>159</v>
      </c>
      <c r="F352" s="51">
        <v>0.04</v>
      </c>
      <c r="G352" s="57">
        <v>18.48</v>
      </c>
      <c r="H352" s="51">
        <f t="shared" si="31"/>
        <v>0.73920000000000008</v>
      </c>
    </row>
    <row r="353" spans="2:8" x14ac:dyDescent="0.25">
      <c r="B353" s="46" t="s">
        <v>310</v>
      </c>
      <c r="C353" s="47" t="s">
        <v>311</v>
      </c>
      <c r="D353" s="69" t="s">
        <v>168</v>
      </c>
      <c r="E353" s="49" t="s">
        <v>159</v>
      </c>
      <c r="F353" s="51">
        <v>0.04</v>
      </c>
      <c r="G353" s="57">
        <v>79.989999999999995</v>
      </c>
      <c r="H353" s="51">
        <f t="shared" si="31"/>
        <v>3.1995999999999998</v>
      </c>
    </row>
    <row r="354" spans="2:8" x14ac:dyDescent="0.25">
      <c r="B354" s="46" t="s">
        <v>312</v>
      </c>
      <c r="C354" s="47" t="s">
        <v>313</v>
      </c>
      <c r="D354" s="69" t="s">
        <v>143</v>
      </c>
      <c r="E354" s="49" t="s">
        <v>159</v>
      </c>
      <c r="F354" s="51">
        <v>1.03</v>
      </c>
      <c r="G354" s="57">
        <v>16.73</v>
      </c>
      <c r="H354" s="51">
        <f>F354*G354</f>
        <v>17.2319</v>
      </c>
    </row>
    <row r="355" spans="2:8" x14ac:dyDescent="0.25">
      <c r="B355" s="52" t="s">
        <v>130</v>
      </c>
      <c r="C355" s="192" t="s">
        <v>131</v>
      </c>
      <c r="D355" s="192"/>
      <c r="E355" s="192"/>
      <c r="F355" s="192"/>
      <c r="G355" s="192"/>
      <c r="H355" s="192"/>
    </row>
    <row r="358" spans="2:8" ht="15.75" x14ac:dyDescent="0.25">
      <c r="B358" s="191" t="s">
        <v>314</v>
      </c>
      <c r="C358" s="191"/>
      <c r="D358" s="191"/>
      <c r="E358" s="191"/>
      <c r="F358" s="191"/>
      <c r="G358" s="191"/>
      <c r="H358" s="191"/>
    </row>
    <row r="359" spans="2:8" x14ac:dyDescent="0.25">
      <c r="B359" s="38" t="s">
        <v>121</v>
      </c>
      <c r="C359" s="39" t="s">
        <v>122</v>
      </c>
      <c r="D359" s="38" t="s">
        <v>123</v>
      </c>
      <c r="E359" s="38" t="s">
        <v>124</v>
      </c>
      <c r="F359" s="40" t="s">
        <v>125</v>
      </c>
      <c r="G359" s="40" t="s">
        <v>126</v>
      </c>
      <c r="H359" s="41" t="s">
        <v>127</v>
      </c>
    </row>
    <row r="360" spans="2:8" x14ac:dyDescent="0.25">
      <c r="B360" s="42" t="s">
        <v>315</v>
      </c>
      <c r="C360" s="43" t="s">
        <v>316</v>
      </c>
      <c r="D360" s="44" t="s">
        <v>117</v>
      </c>
      <c r="E360" s="38" t="s">
        <v>128</v>
      </c>
      <c r="F360" s="40"/>
      <c r="G360" s="40"/>
      <c r="H360" s="45">
        <f>SUM(H362:H363)</f>
        <v>18.52366</v>
      </c>
    </row>
    <row r="361" spans="2:8" x14ac:dyDescent="0.25">
      <c r="B361" s="53" t="s">
        <v>154</v>
      </c>
      <c r="C361" s="47" t="s">
        <v>226</v>
      </c>
      <c r="D361" s="69" t="s">
        <v>138</v>
      </c>
      <c r="E361" s="49" t="s">
        <v>272</v>
      </c>
      <c r="F361" s="51">
        <v>0.4</v>
      </c>
      <c r="G361" s="88">
        <v>4.8600000000000003</v>
      </c>
      <c r="H361" s="51">
        <f t="shared" ref="H361:H363" si="32">F361*G361</f>
        <v>1.9440000000000002</v>
      </c>
    </row>
    <row r="362" spans="2:8" x14ac:dyDescent="0.25">
      <c r="B362" s="46"/>
      <c r="C362" s="43" t="s">
        <v>155</v>
      </c>
      <c r="D362" s="61" t="s">
        <v>156</v>
      </c>
      <c r="E362" s="38" t="s">
        <v>139</v>
      </c>
      <c r="F362" s="62">
        <v>1.1399999999999999</v>
      </c>
      <c r="G362" s="63"/>
      <c r="H362" s="63">
        <f>(H361)*(1+F362)</f>
        <v>4.1601599999999994</v>
      </c>
    </row>
    <row r="363" spans="2:8" x14ac:dyDescent="0.25">
      <c r="B363" s="53" t="s">
        <v>317</v>
      </c>
      <c r="C363" s="47" t="s">
        <v>318</v>
      </c>
      <c r="D363" s="69" t="s">
        <v>168</v>
      </c>
      <c r="E363" s="49" t="s">
        <v>159</v>
      </c>
      <c r="F363" s="51">
        <v>2.2999999999999998</v>
      </c>
      <c r="G363" s="88">
        <f>124.9/20</f>
        <v>6.2450000000000001</v>
      </c>
      <c r="H363" s="51">
        <f t="shared" si="32"/>
        <v>14.363499999999998</v>
      </c>
    </row>
    <row r="364" spans="2:8" x14ac:dyDescent="0.25">
      <c r="B364" s="52" t="s">
        <v>130</v>
      </c>
      <c r="C364" s="192" t="s">
        <v>131</v>
      </c>
      <c r="D364" s="192"/>
      <c r="E364" s="192"/>
      <c r="F364" s="192"/>
      <c r="G364" s="192"/>
      <c r="H364" s="192"/>
    </row>
    <row r="367" spans="2:8" ht="15.75" x14ac:dyDescent="0.25">
      <c r="B367" s="191" t="s">
        <v>694</v>
      </c>
      <c r="C367" s="191"/>
      <c r="D367" s="191"/>
      <c r="E367" s="191"/>
      <c r="F367" s="191"/>
      <c r="G367" s="191"/>
      <c r="H367" s="191"/>
    </row>
    <row r="368" spans="2:8" x14ac:dyDescent="0.25">
      <c r="B368" s="38" t="s">
        <v>121</v>
      </c>
      <c r="C368" s="39" t="s">
        <v>122</v>
      </c>
      <c r="D368" s="38" t="s">
        <v>123</v>
      </c>
      <c r="E368" s="38" t="s">
        <v>124</v>
      </c>
      <c r="F368" s="40" t="s">
        <v>125</v>
      </c>
      <c r="G368" s="40" t="s">
        <v>126</v>
      </c>
      <c r="H368" s="41" t="s">
        <v>127</v>
      </c>
    </row>
    <row r="369" spans="2:8" x14ac:dyDescent="0.25">
      <c r="B369" s="42" t="s">
        <v>695</v>
      </c>
      <c r="C369" s="43" t="s">
        <v>119</v>
      </c>
      <c r="D369" s="44" t="s">
        <v>117</v>
      </c>
      <c r="E369" s="38" t="s">
        <v>128</v>
      </c>
      <c r="F369" s="40"/>
      <c r="G369" s="40"/>
      <c r="H369" s="45">
        <f>SUM(H371:H372)</f>
        <v>4.6267199999999997</v>
      </c>
    </row>
    <row r="370" spans="2:8" x14ac:dyDescent="0.25">
      <c r="B370" s="53" t="s">
        <v>696</v>
      </c>
      <c r="C370" s="47" t="s">
        <v>977</v>
      </c>
      <c r="D370" s="69" t="s">
        <v>319</v>
      </c>
      <c r="E370" s="49" t="s">
        <v>272</v>
      </c>
      <c r="F370" s="51">
        <v>0.2</v>
      </c>
      <c r="G370" s="88">
        <v>8.24</v>
      </c>
      <c r="H370" s="51">
        <f t="shared" ref="H370:H372" si="33">F370*G370</f>
        <v>1.6480000000000001</v>
      </c>
    </row>
    <row r="371" spans="2:8" x14ac:dyDescent="0.25">
      <c r="B371" s="46"/>
      <c r="C371" s="43" t="s">
        <v>155</v>
      </c>
      <c r="D371" s="61" t="s">
        <v>156</v>
      </c>
      <c r="E371" s="38" t="s">
        <v>139</v>
      </c>
      <c r="F371" s="62">
        <v>1.1399999999999999</v>
      </c>
      <c r="G371" s="63"/>
      <c r="H371" s="63">
        <f>(SUM(H370))*(1+F371)</f>
        <v>3.5267199999999996</v>
      </c>
    </row>
    <row r="372" spans="2:8" x14ac:dyDescent="0.25">
      <c r="B372" s="53" t="s">
        <v>697</v>
      </c>
      <c r="C372" s="47" t="s">
        <v>698</v>
      </c>
      <c r="D372" s="69" t="s">
        <v>117</v>
      </c>
      <c r="E372" s="49" t="s">
        <v>159</v>
      </c>
      <c r="F372" s="51">
        <v>1.1000000000000001</v>
      </c>
      <c r="G372" s="51">
        <v>1</v>
      </c>
      <c r="H372" s="51">
        <f t="shared" si="33"/>
        <v>1.1000000000000001</v>
      </c>
    </row>
    <row r="373" spans="2:8" x14ac:dyDescent="0.25">
      <c r="B373" s="52" t="s">
        <v>130</v>
      </c>
      <c r="C373" s="192" t="s">
        <v>232</v>
      </c>
      <c r="D373" s="192"/>
      <c r="E373" s="192"/>
      <c r="F373" s="192"/>
      <c r="G373" s="192"/>
      <c r="H373" s="192"/>
    </row>
    <row r="376" spans="2:8" ht="15.75" x14ac:dyDescent="0.25">
      <c r="B376" s="194" t="s">
        <v>320</v>
      </c>
      <c r="C376" s="194"/>
      <c r="D376" s="194"/>
      <c r="E376" s="194"/>
      <c r="F376" s="194"/>
      <c r="G376" s="194"/>
      <c r="H376" s="194"/>
    </row>
    <row r="377" spans="2:8" x14ac:dyDescent="0.25">
      <c r="B377" s="38" t="s">
        <v>121</v>
      </c>
      <c r="C377" s="39" t="s">
        <v>122</v>
      </c>
      <c r="D377" s="38" t="s">
        <v>123</v>
      </c>
      <c r="E377" s="38" t="s">
        <v>124</v>
      </c>
      <c r="F377" s="40" t="s">
        <v>125</v>
      </c>
      <c r="G377" s="40" t="s">
        <v>126</v>
      </c>
      <c r="H377" s="41" t="s">
        <v>127</v>
      </c>
    </row>
    <row r="378" spans="2:8" x14ac:dyDescent="0.25">
      <c r="B378" s="42" t="s">
        <v>699</v>
      </c>
      <c r="C378" s="43" t="s">
        <v>700</v>
      </c>
      <c r="D378" s="44" t="s">
        <v>117</v>
      </c>
      <c r="E378" s="38" t="s">
        <v>128</v>
      </c>
      <c r="F378" s="40"/>
      <c r="G378" s="40"/>
      <c r="H378" s="45">
        <f>SUM(H381:H382)</f>
        <v>26.343799999999995</v>
      </c>
    </row>
    <row r="379" spans="2:8" x14ac:dyDescent="0.25">
      <c r="B379" s="46" t="s">
        <v>701</v>
      </c>
      <c r="C379" s="47" t="s">
        <v>153</v>
      </c>
      <c r="D379" s="69" t="s">
        <v>138</v>
      </c>
      <c r="E379" s="49" t="s">
        <v>272</v>
      </c>
      <c r="F379" s="51">
        <v>0.7</v>
      </c>
      <c r="G379" s="88">
        <v>8.24</v>
      </c>
      <c r="H379" s="51">
        <f t="shared" ref="H379:H382" si="34">F379*G379</f>
        <v>5.7679999999999998</v>
      </c>
    </row>
    <row r="380" spans="2:8" x14ac:dyDescent="0.25">
      <c r="B380" s="46" t="s">
        <v>702</v>
      </c>
      <c r="C380" s="47" t="s">
        <v>703</v>
      </c>
      <c r="D380" s="69" t="s">
        <v>138</v>
      </c>
      <c r="E380" s="49" t="s">
        <v>272</v>
      </c>
      <c r="F380" s="51">
        <v>0.7</v>
      </c>
      <c r="G380" s="88">
        <v>4.8600000000000003</v>
      </c>
      <c r="H380" s="51">
        <f t="shared" si="34"/>
        <v>3.4020000000000001</v>
      </c>
    </row>
    <row r="381" spans="2:8" x14ac:dyDescent="0.25">
      <c r="B381" s="46"/>
      <c r="C381" s="43" t="s">
        <v>155</v>
      </c>
      <c r="D381" s="61" t="s">
        <v>156</v>
      </c>
      <c r="E381" s="38" t="s">
        <v>139</v>
      </c>
      <c r="F381" s="62">
        <v>1.1399999999999999</v>
      </c>
      <c r="G381" s="63"/>
      <c r="H381" s="63">
        <f>(SUM(H379:H380))*(1+F381)</f>
        <v>19.623799999999996</v>
      </c>
    </row>
    <row r="382" spans="2:8" x14ac:dyDescent="0.25">
      <c r="B382" s="53" t="s">
        <v>704</v>
      </c>
      <c r="C382" s="47" t="s">
        <v>705</v>
      </c>
      <c r="D382" s="69" t="s">
        <v>64</v>
      </c>
      <c r="E382" s="49" t="s">
        <v>159</v>
      </c>
      <c r="F382" s="51">
        <v>3</v>
      </c>
      <c r="G382" s="40">
        <v>2.2400000000000002</v>
      </c>
      <c r="H382" s="51">
        <f t="shared" si="34"/>
        <v>6.7200000000000006</v>
      </c>
    </row>
    <row r="383" spans="2:8" x14ac:dyDescent="0.25">
      <c r="B383" s="52" t="s">
        <v>130</v>
      </c>
      <c r="C383" s="192" t="s">
        <v>321</v>
      </c>
      <c r="D383" s="192"/>
      <c r="E383" s="192"/>
      <c r="F383" s="192"/>
      <c r="G383" s="192"/>
      <c r="H383" s="192"/>
    </row>
    <row r="386" spans="2:8" ht="15.75" x14ac:dyDescent="0.25">
      <c r="B386" s="191" t="s">
        <v>322</v>
      </c>
      <c r="C386" s="191"/>
      <c r="D386" s="191"/>
      <c r="E386" s="191"/>
      <c r="F386" s="191"/>
      <c r="G386" s="191"/>
      <c r="H386" s="191"/>
    </row>
    <row r="387" spans="2:8" x14ac:dyDescent="0.25">
      <c r="B387" s="38" t="s">
        <v>121</v>
      </c>
      <c r="C387" s="39" t="s">
        <v>122</v>
      </c>
      <c r="D387" s="38" t="s">
        <v>123</v>
      </c>
      <c r="E387" s="38" t="s">
        <v>124</v>
      </c>
      <c r="F387" s="40" t="s">
        <v>125</v>
      </c>
      <c r="G387" s="40" t="s">
        <v>126</v>
      </c>
      <c r="H387" s="41" t="s">
        <v>127</v>
      </c>
    </row>
    <row r="388" spans="2:8" ht="30" x14ac:dyDescent="0.25">
      <c r="B388" s="42" t="s">
        <v>323</v>
      </c>
      <c r="C388" s="43" t="s">
        <v>324</v>
      </c>
      <c r="D388" s="44" t="s">
        <v>117</v>
      </c>
      <c r="E388" s="38" t="s">
        <v>128</v>
      </c>
      <c r="F388" s="40"/>
      <c r="G388" s="40"/>
      <c r="H388" s="45">
        <f>SUM(H391:H393)</f>
        <v>20.527819999999998</v>
      </c>
    </row>
    <row r="389" spans="2:8" x14ac:dyDescent="0.25">
      <c r="B389" s="53" t="s">
        <v>225</v>
      </c>
      <c r="C389" s="47" t="s">
        <v>153</v>
      </c>
      <c r="D389" s="69" t="s">
        <v>138</v>
      </c>
      <c r="E389" s="49" t="s">
        <v>272</v>
      </c>
      <c r="F389" s="51">
        <v>0.25</v>
      </c>
      <c r="G389" s="88">
        <v>8.24</v>
      </c>
      <c r="H389" s="51">
        <f t="shared" ref="H389:H393" si="35">F389*G389</f>
        <v>2.06</v>
      </c>
    </row>
    <row r="390" spans="2:8" x14ac:dyDescent="0.25">
      <c r="B390" s="53" t="s">
        <v>136</v>
      </c>
      <c r="C390" s="47" t="s">
        <v>137</v>
      </c>
      <c r="D390" s="69" t="s">
        <v>138</v>
      </c>
      <c r="E390" s="49" t="s">
        <v>272</v>
      </c>
      <c r="F390" s="51">
        <v>0.55000000000000004</v>
      </c>
      <c r="G390" s="88">
        <v>4.8600000000000003</v>
      </c>
      <c r="H390" s="51">
        <f t="shared" si="35"/>
        <v>2.6730000000000005</v>
      </c>
    </row>
    <row r="391" spans="2:8" x14ac:dyDescent="0.25">
      <c r="B391" s="46"/>
      <c r="C391" s="43" t="s">
        <v>155</v>
      </c>
      <c r="D391" s="61" t="s">
        <v>156</v>
      </c>
      <c r="E391" s="38" t="s">
        <v>139</v>
      </c>
      <c r="F391" s="62">
        <v>1.1399999999999999</v>
      </c>
      <c r="G391" s="63"/>
      <c r="H391" s="63">
        <f>(SUM(H389:H390))*(1+F391)</f>
        <v>10.12862</v>
      </c>
    </row>
    <row r="392" spans="2:8" x14ac:dyDescent="0.25">
      <c r="B392" s="53" t="s">
        <v>325</v>
      </c>
      <c r="C392" s="47" t="s">
        <v>158</v>
      </c>
      <c r="D392" s="69" t="s">
        <v>135</v>
      </c>
      <c r="E392" s="49" t="s">
        <v>159</v>
      </c>
      <c r="F392" s="51">
        <v>3.6600000000000001E-2</v>
      </c>
      <c r="G392" s="51">
        <v>73</v>
      </c>
      <c r="H392" s="51">
        <f t="shared" si="35"/>
        <v>2.6718000000000002</v>
      </c>
    </row>
    <row r="393" spans="2:8" x14ac:dyDescent="0.25">
      <c r="B393" s="53" t="s">
        <v>326</v>
      </c>
      <c r="C393" s="47" t="s">
        <v>327</v>
      </c>
      <c r="D393" s="69" t="s">
        <v>168</v>
      </c>
      <c r="E393" s="49" t="s">
        <v>159</v>
      </c>
      <c r="F393" s="51">
        <v>14.58</v>
      </c>
      <c r="G393" s="51">
        <v>0.53</v>
      </c>
      <c r="H393" s="51">
        <f t="shared" si="35"/>
        <v>7.7274000000000003</v>
      </c>
    </row>
    <row r="394" spans="2:8" x14ac:dyDescent="0.25">
      <c r="B394" s="52" t="s">
        <v>130</v>
      </c>
      <c r="C394" s="192" t="s">
        <v>131</v>
      </c>
      <c r="D394" s="192"/>
      <c r="E394" s="192"/>
      <c r="F394" s="192"/>
      <c r="G394" s="192"/>
      <c r="H394" s="192"/>
    </row>
    <row r="397" spans="2:8" ht="15.75" x14ac:dyDescent="0.25">
      <c r="B397" s="191" t="s">
        <v>328</v>
      </c>
      <c r="C397" s="191"/>
      <c r="D397" s="191"/>
      <c r="E397" s="191"/>
      <c r="F397" s="191"/>
      <c r="G397" s="191"/>
      <c r="H397" s="191"/>
    </row>
    <row r="398" spans="2:8" x14ac:dyDescent="0.25">
      <c r="B398" s="38" t="s">
        <v>121</v>
      </c>
      <c r="C398" s="39" t="s">
        <v>122</v>
      </c>
      <c r="D398" s="38" t="s">
        <v>123</v>
      </c>
      <c r="E398" s="38" t="s">
        <v>124</v>
      </c>
      <c r="F398" s="40" t="s">
        <v>125</v>
      </c>
      <c r="G398" s="40" t="s">
        <v>126</v>
      </c>
      <c r="H398" s="41" t="s">
        <v>127</v>
      </c>
    </row>
    <row r="399" spans="2:8" ht="30" x14ac:dyDescent="0.25">
      <c r="B399" s="42" t="s">
        <v>706</v>
      </c>
      <c r="C399" s="43" t="s">
        <v>707</v>
      </c>
      <c r="D399" s="44" t="s">
        <v>117</v>
      </c>
      <c r="E399" s="38" t="s">
        <v>128</v>
      </c>
      <c r="F399" s="40"/>
      <c r="G399" s="40"/>
      <c r="H399" s="45">
        <f>SUM(H402:H405)</f>
        <v>12.325638</v>
      </c>
    </row>
    <row r="400" spans="2:8" x14ac:dyDescent="0.25">
      <c r="B400" s="53" t="s">
        <v>666</v>
      </c>
      <c r="C400" s="47" t="s">
        <v>153</v>
      </c>
      <c r="D400" s="69" t="s">
        <v>138</v>
      </c>
      <c r="E400" s="49" t="s">
        <v>272</v>
      </c>
      <c r="F400" s="51">
        <v>0.33</v>
      </c>
      <c r="G400" s="88">
        <v>8.24</v>
      </c>
      <c r="H400" s="51">
        <f t="shared" ref="H400:H405" si="36">F400*G400</f>
        <v>2.7192000000000003</v>
      </c>
    </row>
    <row r="401" spans="2:8" x14ac:dyDescent="0.25">
      <c r="B401" s="53" t="s">
        <v>656</v>
      </c>
      <c r="C401" s="47" t="s">
        <v>137</v>
      </c>
      <c r="D401" s="69" t="s">
        <v>138</v>
      </c>
      <c r="E401" s="49" t="s">
        <v>272</v>
      </c>
      <c r="F401" s="70">
        <v>0.16500000000000001</v>
      </c>
      <c r="G401" s="88">
        <v>4.8600000000000003</v>
      </c>
      <c r="H401" s="51">
        <f t="shared" si="36"/>
        <v>0.80190000000000006</v>
      </c>
    </row>
    <row r="402" spans="2:8" x14ac:dyDescent="0.25">
      <c r="B402" s="46"/>
      <c r="C402" s="43" t="s">
        <v>155</v>
      </c>
      <c r="D402" s="61" t="s">
        <v>156</v>
      </c>
      <c r="E402" s="38" t="s">
        <v>139</v>
      </c>
      <c r="F402" s="62">
        <v>1.1399999999999999</v>
      </c>
      <c r="G402" s="63"/>
      <c r="H402" s="63">
        <f>(SUM(H400:H401))*(1+F402)</f>
        <v>7.5351540000000004</v>
      </c>
    </row>
    <row r="403" spans="2:8" x14ac:dyDescent="0.25">
      <c r="B403" s="53" t="s">
        <v>708</v>
      </c>
      <c r="C403" s="47" t="s">
        <v>709</v>
      </c>
      <c r="D403" s="69" t="s">
        <v>168</v>
      </c>
      <c r="E403" s="49" t="s">
        <v>159</v>
      </c>
      <c r="F403" s="51">
        <v>0.5</v>
      </c>
      <c r="G403" s="88">
        <v>0.53</v>
      </c>
      <c r="H403" s="51">
        <f t="shared" si="36"/>
        <v>0.26500000000000001</v>
      </c>
    </row>
    <row r="404" spans="2:8" x14ac:dyDescent="0.25">
      <c r="B404" s="53" t="s">
        <v>710</v>
      </c>
      <c r="C404" s="47" t="s">
        <v>711</v>
      </c>
      <c r="D404" s="69" t="s">
        <v>173</v>
      </c>
      <c r="E404" s="49" t="s">
        <v>159</v>
      </c>
      <c r="F404" s="70">
        <v>0.435</v>
      </c>
      <c r="G404" s="51">
        <v>10.34</v>
      </c>
      <c r="H404" s="51">
        <f t="shared" si="36"/>
        <v>4.4978999999999996</v>
      </c>
    </row>
    <row r="405" spans="2:8" ht="30" x14ac:dyDescent="0.25">
      <c r="B405" s="53" t="s">
        <v>712</v>
      </c>
      <c r="C405" s="47" t="s">
        <v>713</v>
      </c>
      <c r="D405" s="69" t="s">
        <v>135</v>
      </c>
      <c r="E405" s="49" t="s">
        <v>159</v>
      </c>
      <c r="F405" s="71">
        <v>4.3099999999999999E-2</v>
      </c>
      <c r="G405" s="88">
        <v>0.64</v>
      </c>
      <c r="H405" s="51">
        <f t="shared" si="36"/>
        <v>2.7584000000000001E-2</v>
      </c>
    </row>
    <row r="406" spans="2:8" x14ac:dyDescent="0.25">
      <c r="B406" s="52" t="s">
        <v>130</v>
      </c>
      <c r="C406" s="192" t="s">
        <v>232</v>
      </c>
      <c r="D406" s="192"/>
      <c r="E406" s="192"/>
      <c r="F406" s="192"/>
      <c r="G406" s="192"/>
      <c r="H406" s="192"/>
    </row>
    <row r="409" spans="2:8" ht="15.75" x14ac:dyDescent="0.25">
      <c r="B409" s="191" t="s">
        <v>329</v>
      </c>
      <c r="C409" s="191"/>
      <c r="D409" s="191"/>
      <c r="E409" s="191"/>
      <c r="F409" s="191"/>
      <c r="G409" s="191"/>
      <c r="H409" s="191"/>
    </row>
    <row r="410" spans="2:8" x14ac:dyDescent="0.25">
      <c r="B410" s="38" t="s">
        <v>121</v>
      </c>
      <c r="C410" s="39" t="s">
        <v>122</v>
      </c>
      <c r="D410" s="38" t="s">
        <v>123</v>
      </c>
      <c r="E410" s="38" t="s">
        <v>124</v>
      </c>
      <c r="F410" s="40" t="s">
        <v>125</v>
      </c>
      <c r="G410" s="40" t="s">
        <v>126</v>
      </c>
      <c r="H410" s="41" t="s">
        <v>127</v>
      </c>
    </row>
    <row r="411" spans="2:8" ht="30" x14ac:dyDescent="0.25">
      <c r="B411" s="42" t="s">
        <v>714</v>
      </c>
      <c r="C411" s="43" t="s">
        <v>715</v>
      </c>
      <c r="D411" s="44" t="s">
        <v>117</v>
      </c>
      <c r="E411" s="38" t="s">
        <v>128</v>
      </c>
      <c r="F411" s="40"/>
      <c r="G411" s="40"/>
      <c r="H411" s="45">
        <f>SUM(H414:H417)</f>
        <v>19.175777999999998</v>
      </c>
    </row>
    <row r="412" spans="2:8" x14ac:dyDescent="0.25">
      <c r="B412" s="53" t="s">
        <v>666</v>
      </c>
      <c r="C412" s="47" t="s">
        <v>153</v>
      </c>
      <c r="D412" s="69" t="s">
        <v>138</v>
      </c>
      <c r="E412" s="49" t="s">
        <v>272</v>
      </c>
      <c r="F412" s="49">
        <v>0.63</v>
      </c>
      <c r="G412" s="88">
        <v>8.24</v>
      </c>
      <c r="H412" s="51">
        <f t="shared" ref="H412:H417" si="37">F412*G412</f>
        <v>5.1912000000000003</v>
      </c>
    </row>
    <row r="413" spans="2:8" x14ac:dyDescent="0.25">
      <c r="B413" s="53" t="s">
        <v>656</v>
      </c>
      <c r="C413" s="47" t="s">
        <v>137</v>
      </c>
      <c r="D413" s="69" t="s">
        <v>138</v>
      </c>
      <c r="E413" s="49" t="s">
        <v>272</v>
      </c>
      <c r="F413" s="49">
        <v>0.315</v>
      </c>
      <c r="G413" s="88">
        <v>4.8600000000000003</v>
      </c>
      <c r="H413" s="51">
        <f t="shared" si="37"/>
        <v>1.5309000000000001</v>
      </c>
    </row>
    <row r="414" spans="2:8" x14ac:dyDescent="0.25">
      <c r="B414" s="46"/>
      <c r="C414" s="43" t="s">
        <v>155</v>
      </c>
      <c r="D414" s="61" t="s">
        <v>156</v>
      </c>
      <c r="E414" s="38" t="s">
        <v>139</v>
      </c>
      <c r="F414" s="62">
        <v>1.1399999999999999</v>
      </c>
      <c r="G414" s="51"/>
      <c r="H414" s="63">
        <f>(SUM(H412:H413))*(1+F414)</f>
        <v>14.385293999999998</v>
      </c>
    </row>
    <row r="415" spans="2:8" x14ac:dyDescent="0.25">
      <c r="B415" s="53" t="s">
        <v>708</v>
      </c>
      <c r="C415" s="47" t="s">
        <v>709</v>
      </c>
      <c r="D415" s="69" t="s">
        <v>168</v>
      </c>
      <c r="E415" s="49" t="s">
        <v>159</v>
      </c>
      <c r="F415" s="49">
        <v>0.5</v>
      </c>
      <c r="G415" s="88">
        <v>0.53</v>
      </c>
      <c r="H415" s="51">
        <f t="shared" si="37"/>
        <v>0.26500000000000001</v>
      </c>
    </row>
    <row r="416" spans="2:8" x14ac:dyDescent="0.25">
      <c r="B416" s="53" t="s">
        <v>710</v>
      </c>
      <c r="C416" s="47" t="s">
        <v>711</v>
      </c>
      <c r="D416" s="69" t="s">
        <v>173</v>
      </c>
      <c r="E416" s="49" t="s">
        <v>159</v>
      </c>
      <c r="F416" s="49">
        <v>0.435</v>
      </c>
      <c r="G416" s="88">
        <v>10.34</v>
      </c>
      <c r="H416" s="51">
        <f t="shared" si="37"/>
        <v>4.4978999999999996</v>
      </c>
    </row>
    <row r="417" spans="2:8" x14ac:dyDescent="0.25">
      <c r="B417" s="53" t="s">
        <v>716</v>
      </c>
      <c r="C417" s="47" t="s">
        <v>717</v>
      </c>
      <c r="D417" s="69" t="s">
        <v>135</v>
      </c>
      <c r="E417" s="49" t="s">
        <v>159</v>
      </c>
      <c r="F417" s="49">
        <v>4.3099999999999999E-2</v>
      </c>
      <c r="G417" s="88">
        <v>0.64</v>
      </c>
      <c r="H417" s="51">
        <f t="shared" si="37"/>
        <v>2.7584000000000001E-2</v>
      </c>
    </row>
    <row r="418" spans="2:8" x14ac:dyDescent="0.25">
      <c r="B418" s="52" t="s">
        <v>130</v>
      </c>
      <c r="C418" s="192" t="s">
        <v>232</v>
      </c>
      <c r="D418" s="192"/>
      <c r="E418" s="192"/>
      <c r="F418" s="192"/>
      <c r="G418" s="192"/>
      <c r="H418" s="192"/>
    </row>
    <row r="421" spans="2:8" ht="15.75" x14ac:dyDescent="0.25">
      <c r="B421" s="191" t="s">
        <v>330</v>
      </c>
      <c r="C421" s="191"/>
      <c r="D421" s="191"/>
      <c r="E421" s="191"/>
      <c r="F421" s="191"/>
      <c r="G421" s="191"/>
      <c r="H421" s="191"/>
    </row>
    <row r="422" spans="2:8" x14ac:dyDescent="0.25">
      <c r="B422" s="38" t="s">
        <v>121</v>
      </c>
      <c r="C422" s="39" t="s">
        <v>122</v>
      </c>
      <c r="D422" s="38" t="s">
        <v>123</v>
      </c>
      <c r="E422" s="38" t="s">
        <v>124</v>
      </c>
      <c r="F422" s="40" t="s">
        <v>125</v>
      </c>
      <c r="G422" s="40" t="s">
        <v>126</v>
      </c>
      <c r="H422" s="41" t="s">
        <v>127</v>
      </c>
    </row>
    <row r="423" spans="2:8" ht="30" x14ac:dyDescent="0.25">
      <c r="B423" s="42" t="s">
        <v>331</v>
      </c>
      <c r="C423" s="43" t="s">
        <v>332</v>
      </c>
      <c r="D423" s="44" t="s">
        <v>117</v>
      </c>
      <c r="E423" s="38" t="s">
        <v>128</v>
      </c>
      <c r="F423" s="40"/>
      <c r="G423" s="40"/>
      <c r="H423" s="45">
        <f>SUM(H426:H428)</f>
        <v>83.598172000000005</v>
      </c>
    </row>
    <row r="424" spans="2:8" x14ac:dyDescent="0.25">
      <c r="B424" s="53" t="s">
        <v>333</v>
      </c>
      <c r="C424" s="47" t="s">
        <v>334</v>
      </c>
      <c r="D424" s="69" t="s">
        <v>138</v>
      </c>
      <c r="E424" s="49" t="s">
        <v>272</v>
      </c>
      <c r="F424" s="51">
        <v>0.44</v>
      </c>
      <c r="G424" s="88">
        <v>8.24</v>
      </c>
      <c r="H424" s="51">
        <f t="shared" ref="H424:H428" si="38">F424*G424</f>
        <v>3.6255999999999999</v>
      </c>
    </row>
    <row r="425" spans="2:8" x14ac:dyDescent="0.25">
      <c r="B425" s="53" t="s">
        <v>154</v>
      </c>
      <c r="C425" s="47" t="s">
        <v>137</v>
      </c>
      <c r="D425" s="69" t="s">
        <v>138</v>
      </c>
      <c r="E425" s="49" t="s">
        <v>272</v>
      </c>
      <c r="F425" s="51">
        <v>0.22</v>
      </c>
      <c r="G425" s="88">
        <v>4.8600000000000003</v>
      </c>
      <c r="H425" s="51">
        <f t="shared" si="38"/>
        <v>1.0692000000000002</v>
      </c>
    </row>
    <row r="426" spans="2:8" x14ac:dyDescent="0.25">
      <c r="B426" s="46"/>
      <c r="C426" s="43" t="s">
        <v>155</v>
      </c>
      <c r="D426" s="61" t="s">
        <v>156</v>
      </c>
      <c r="E426" s="38" t="s">
        <v>139</v>
      </c>
      <c r="F426" s="62">
        <v>1.1399999999999999</v>
      </c>
      <c r="G426" s="51"/>
      <c r="H426" s="63">
        <f>(SUM(H424:H425))*(1+F426)</f>
        <v>10.046871999999999</v>
      </c>
    </row>
    <row r="427" spans="2:8" x14ac:dyDescent="0.25">
      <c r="B427" s="53" t="s">
        <v>335</v>
      </c>
      <c r="C427" s="47" t="s">
        <v>336</v>
      </c>
      <c r="D427" s="69" t="s">
        <v>117</v>
      </c>
      <c r="E427" s="49" t="s">
        <v>159</v>
      </c>
      <c r="F427" s="51">
        <v>1.19</v>
      </c>
      <c r="G427" s="88">
        <v>57.27</v>
      </c>
      <c r="H427" s="51">
        <f t="shared" si="38"/>
        <v>68.151300000000006</v>
      </c>
    </row>
    <row r="428" spans="2:8" ht="30" x14ac:dyDescent="0.25">
      <c r="B428" s="53" t="s">
        <v>337</v>
      </c>
      <c r="C428" s="47" t="s">
        <v>338</v>
      </c>
      <c r="D428" s="69" t="s">
        <v>168</v>
      </c>
      <c r="E428" s="49" t="s">
        <v>159</v>
      </c>
      <c r="F428" s="51">
        <v>9</v>
      </c>
      <c r="G428" s="88">
        <v>0.6</v>
      </c>
      <c r="H428" s="51">
        <f t="shared" si="38"/>
        <v>5.3999999999999995</v>
      </c>
    </row>
    <row r="429" spans="2:8" x14ac:dyDescent="0.25">
      <c r="B429" s="52" t="s">
        <v>130</v>
      </c>
      <c r="C429" s="192" t="s">
        <v>131</v>
      </c>
      <c r="D429" s="192"/>
      <c r="E429" s="192"/>
      <c r="F429" s="192"/>
      <c r="G429" s="192"/>
      <c r="H429" s="192"/>
    </row>
    <row r="432" spans="2:8" ht="15.75" x14ac:dyDescent="0.25">
      <c r="B432" s="191" t="s">
        <v>339</v>
      </c>
      <c r="C432" s="191"/>
      <c r="D432" s="191"/>
      <c r="E432" s="191"/>
      <c r="F432" s="191"/>
      <c r="G432" s="191"/>
      <c r="H432" s="191"/>
    </row>
    <row r="433" spans="2:8" x14ac:dyDescent="0.25">
      <c r="B433" s="38" t="s">
        <v>121</v>
      </c>
      <c r="C433" s="39" t="s">
        <v>122</v>
      </c>
      <c r="D433" s="38" t="s">
        <v>123</v>
      </c>
      <c r="E433" s="38" t="s">
        <v>124</v>
      </c>
      <c r="F433" s="40" t="s">
        <v>125</v>
      </c>
      <c r="G433" s="40" t="s">
        <v>126</v>
      </c>
      <c r="H433" s="41" t="s">
        <v>127</v>
      </c>
    </row>
    <row r="434" spans="2:8" x14ac:dyDescent="0.25">
      <c r="B434" s="42" t="s">
        <v>340</v>
      </c>
      <c r="C434" s="43" t="s">
        <v>341</v>
      </c>
      <c r="D434" s="44" t="s">
        <v>117</v>
      </c>
      <c r="E434" s="38" t="s">
        <v>128</v>
      </c>
      <c r="F434" s="40"/>
      <c r="G434" s="40"/>
      <c r="H434" s="45">
        <f>SUM(H437:H438)</f>
        <v>7.2759799999999988</v>
      </c>
    </row>
    <row r="435" spans="2:8" x14ac:dyDescent="0.25">
      <c r="B435" s="53" t="s">
        <v>342</v>
      </c>
      <c r="C435" s="47" t="s">
        <v>343</v>
      </c>
      <c r="D435" s="69" t="s">
        <v>138</v>
      </c>
      <c r="E435" s="49" t="s">
        <v>272</v>
      </c>
      <c r="F435" s="51">
        <v>0.25</v>
      </c>
      <c r="G435" s="88">
        <v>8.24</v>
      </c>
      <c r="H435" s="51">
        <f t="shared" ref="H435:H438" si="39">F435*G435</f>
        <v>2.06</v>
      </c>
    </row>
    <row r="436" spans="2:8" x14ac:dyDescent="0.25">
      <c r="B436" s="53" t="s">
        <v>154</v>
      </c>
      <c r="C436" s="47" t="s">
        <v>226</v>
      </c>
      <c r="D436" s="69" t="s">
        <v>138</v>
      </c>
      <c r="E436" s="49" t="s">
        <v>272</v>
      </c>
      <c r="F436" s="51">
        <v>0.2</v>
      </c>
      <c r="G436" s="88">
        <v>4.8600000000000003</v>
      </c>
      <c r="H436" s="51">
        <f t="shared" si="39"/>
        <v>0.97200000000000009</v>
      </c>
    </row>
    <row r="437" spans="2:8" x14ac:dyDescent="0.25">
      <c r="B437" s="46"/>
      <c r="C437" s="43" t="s">
        <v>155</v>
      </c>
      <c r="D437" s="61" t="s">
        <v>156</v>
      </c>
      <c r="E437" s="38" t="s">
        <v>139</v>
      </c>
      <c r="F437" s="62">
        <v>1.1399999999999999</v>
      </c>
      <c r="G437" s="63"/>
      <c r="H437" s="63">
        <f>(SUM(H435:H436))*(1+F437)</f>
        <v>6.4884799999999991</v>
      </c>
    </row>
    <row r="438" spans="2:8" x14ac:dyDescent="0.25">
      <c r="B438" s="53" t="s">
        <v>344</v>
      </c>
      <c r="C438" s="47" t="s">
        <v>345</v>
      </c>
      <c r="D438" s="69" t="s">
        <v>168</v>
      </c>
      <c r="E438" s="49" t="s">
        <v>159</v>
      </c>
      <c r="F438" s="51">
        <v>0.25</v>
      </c>
      <c r="G438" s="88">
        <v>3.15</v>
      </c>
      <c r="H438" s="51">
        <f t="shared" si="39"/>
        <v>0.78749999999999998</v>
      </c>
    </row>
    <row r="439" spans="2:8" x14ac:dyDescent="0.25">
      <c r="B439" s="52" t="s">
        <v>130</v>
      </c>
      <c r="C439" s="192" t="s">
        <v>131</v>
      </c>
      <c r="D439" s="192"/>
      <c r="E439" s="192"/>
      <c r="F439" s="192"/>
      <c r="G439" s="192"/>
      <c r="H439" s="192"/>
    </row>
    <row r="440" spans="2:8" x14ac:dyDescent="0.25">
      <c r="B440" s="75"/>
      <c r="C440" s="76"/>
      <c r="D440" s="76"/>
      <c r="E440" s="76"/>
      <c r="F440" s="76"/>
      <c r="G440" s="76"/>
      <c r="H440" s="76"/>
    </row>
    <row r="441" spans="2:8" x14ac:dyDescent="0.25">
      <c r="B441" s="75"/>
      <c r="C441" s="76"/>
      <c r="D441" s="76"/>
      <c r="E441" s="76"/>
      <c r="F441" s="76"/>
      <c r="G441" s="76"/>
      <c r="H441" s="76"/>
    </row>
    <row r="442" spans="2:8" ht="15.75" x14ac:dyDescent="0.25">
      <c r="B442" s="194" t="s">
        <v>346</v>
      </c>
      <c r="C442" s="194"/>
      <c r="D442" s="194"/>
      <c r="E442" s="194"/>
      <c r="F442" s="194"/>
      <c r="G442" s="194"/>
      <c r="H442" s="194"/>
    </row>
    <row r="443" spans="2:8" x14ac:dyDescent="0.25">
      <c r="B443" s="38" t="s">
        <v>121</v>
      </c>
      <c r="C443" s="39" t="s">
        <v>122</v>
      </c>
      <c r="D443" s="38" t="s">
        <v>123</v>
      </c>
      <c r="E443" s="38" t="s">
        <v>124</v>
      </c>
      <c r="F443" s="40" t="s">
        <v>125</v>
      </c>
      <c r="G443" s="40" t="s">
        <v>126</v>
      </c>
      <c r="H443" s="41" t="s">
        <v>127</v>
      </c>
    </row>
    <row r="444" spans="2:8" x14ac:dyDescent="0.25">
      <c r="B444" s="42" t="s">
        <v>718</v>
      </c>
      <c r="C444" s="43" t="s">
        <v>719</v>
      </c>
      <c r="D444" s="44" t="s">
        <v>143</v>
      </c>
      <c r="E444" s="38" t="s">
        <v>128</v>
      </c>
      <c r="F444" s="40"/>
      <c r="G444" s="40"/>
      <c r="H444" s="45">
        <f>SUM(H447:H450)</f>
        <v>33.683316400000002</v>
      </c>
    </row>
    <row r="445" spans="2:8" x14ac:dyDescent="0.25">
      <c r="B445" s="53" t="s">
        <v>720</v>
      </c>
      <c r="C445" s="47" t="s">
        <v>978</v>
      </c>
      <c r="D445" s="69" t="s">
        <v>138</v>
      </c>
      <c r="E445" s="49" t="s">
        <v>272</v>
      </c>
      <c r="F445" s="70">
        <v>0.29899999999999999</v>
      </c>
      <c r="G445" s="88">
        <v>8.24</v>
      </c>
      <c r="H445" s="51">
        <f t="shared" ref="H445:H450" si="40">F445*G445</f>
        <v>2.4637600000000002</v>
      </c>
    </row>
    <row r="446" spans="2:8" x14ac:dyDescent="0.25">
      <c r="B446" s="53" t="s">
        <v>656</v>
      </c>
      <c r="C446" s="47" t="s">
        <v>971</v>
      </c>
      <c r="D446" s="69" t="s">
        <v>138</v>
      </c>
      <c r="E446" s="49" t="s">
        <v>272</v>
      </c>
      <c r="F446" s="70">
        <v>0.15</v>
      </c>
      <c r="G446" s="88">
        <v>4.8600000000000003</v>
      </c>
      <c r="H446" s="51">
        <f t="shared" si="40"/>
        <v>0.72899999999999998</v>
      </c>
    </row>
    <row r="447" spans="2:8" x14ac:dyDescent="0.25">
      <c r="B447" s="46"/>
      <c r="C447" s="43" t="s">
        <v>155</v>
      </c>
      <c r="D447" s="61" t="s">
        <v>156</v>
      </c>
      <c r="E447" s="38" t="s">
        <v>139</v>
      </c>
      <c r="F447" s="62">
        <v>1.1399999999999999</v>
      </c>
      <c r="G447" s="51"/>
      <c r="H447" s="63">
        <f>(SUM(H445:H446))*(1+F447)</f>
        <v>6.8325063999999998</v>
      </c>
    </row>
    <row r="448" spans="2:8" x14ac:dyDescent="0.25">
      <c r="B448" s="53" t="s">
        <v>721</v>
      </c>
      <c r="C448" s="47" t="s">
        <v>722</v>
      </c>
      <c r="D448" s="69" t="s">
        <v>143</v>
      </c>
      <c r="E448" s="49" t="s">
        <v>159</v>
      </c>
      <c r="F448" s="70">
        <v>1.04</v>
      </c>
      <c r="G448" s="88">
        <v>24.48</v>
      </c>
      <c r="H448" s="51">
        <f t="shared" si="40"/>
        <v>25.459200000000003</v>
      </c>
    </row>
    <row r="449" spans="2:8" x14ac:dyDescent="0.25">
      <c r="B449" s="53" t="s">
        <v>723</v>
      </c>
      <c r="C449" s="47" t="s">
        <v>724</v>
      </c>
      <c r="D449" s="69" t="s">
        <v>168</v>
      </c>
      <c r="E449" s="49" t="s">
        <v>159</v>
      </c>
      <c r="F449" s="70">
        <v>0.60299999999999998</v>
      </c>
      <c r="G449" s="88">
        <v>1.83</v>
      </c>
      <c r="H449" s="51">
        <f t="shared" si="40"/>
        <v>1.1034900000000001</v>
      </c>
    </row>
    <row r="450" spans="2:8" x14ac:dyDescent="0.25">
      <c r="B450" s="53" t="s">
        <v>725</v>
      </c>
      <c r="C450" s="47" t="s">
        <v>726</v>
      </c>
      <c r="D450" s="69" t="s">
        <v>168</v>
      </c>
      <c r="E450" s="49" t="s">
        <v>159</v>
      </c>
      <c r="F450" s="70">
        <v>8.4000000000000005E-2</v>
      </c>
      <c r="G450" s="88">
        <v>3.43</v>
      </c>
      <c r="H450" s="51">
        <f t="shared" si="40"/>
        <v>0.28812000000000004</v>
      </c>
    </row>
    <row r="451" spans="2:8" x14ac:dyDescent="0.25">
      <c r="B451" s="52" t="s">
        <v>130</v>
      </c>
      <c r="C451" s="192" t="s">
        <v>232</v>
      </c>
      <c r="D451" s="192"/>
      <c r="E451" s="192"/>
      <c r="F451" s="192"/>
      <c r="G451" s="192"/>
      <c r="H451" s="192"/>
    </row>
    <row r="452" spans="2:8" x14ac:dyDescent="0.25">
      <c r="B452" s="75"/>
      <c r="C452" s="76"/>
      <c r="D452" s="76"/>
      <c r="E452" s="76"/>
      <c r="F452" s="76"/>
      <c r="G452" s="76"/>
      <c r="H452" s="76"/>
    </row>
    <row r="454" spans="2:8" ht="15.75" x14ac:dyDescent="0.25">
      <c r="B454" s="191" t="s">
        <v>347</v>
      </c>
      <c r="C454" s="191"/>
      <c r="D454" s="191"/>
      <c r="E454" s="191"/>
      <c r="F454" s="191"/>
      <c r="G454" s="191"/>
      <c r="H454" s="191"/>
    </row>
    <row r="455" spans="2:8" x14ac:dyDescent="0.25">
      <c r="B455" s="38" t="s">
        <v>121</v>
      </c>
      <c r="C455" s="39" t="s">
        <v>122</v>
      </c>
      <c r="D455" s="38" t="s">
        <v>123</v>
      </c>
      <c r="E455" s="38" t="s">
        <v>124</v>
      </c>
      <c r="F455" s="40" t="s">
        <v>125</v>
      </c>
      <c r="G455" s="40" t="s">
        <v>126</v>
      </c>
      <c r="H455" s="41" t="s">
        <v>127</v>
      </c>
    </row>
    <row r="456" spans="2:8" x14ac:dyDescent="0.25">
      <c r="B456" s="42" t="s">
        <v>348</v>
      </c>
      <c r="C456" s="43" t="s">
        <v>349</v>
      </c>
      <c r="D456" s="44" t="s">
        <v>143</v>
      </c>
      <c r="E456" s="38" t="s">
        <v>128</v>
      </c>
      <c r="F456" s="40"/>
      <c r="G456" s="40"/>
      <c r="H456" s="45">
        <f>SUM(H457:H458)</f>
        <v>37.610549999999996</v>
      </c>
    </row>
    <row r="457" spans="2:8" x14ac:dyDescent="0.25">
      <c r="B457" s="53" t="s">
        <v>350</v>
      </c>
      <c r="C457" s="47" t="s">
        <v>351</v>
      </c>
      <c r="D457" s="69" t="s">
        <v>143</v>
      </c>
      <c r="E457" s="49" t="s">
        <v>159</v>
      </c>
      <c r="F457" s="51">
        <v>1</v>
      </c>
      <c r="G457" s="88">
        <v>36.54</v>
      </c>
      <c r="H457" s="51">
        <f t="shared" ref="H457:H458" si="41">F457*G457</f>
        <v>36.54</v>
      </c>
    </row>
    <row r="458" spans="2:8" x14ac:dyDescent="0.25">
      <c r="B458" s="53" t="s">
        <v>352</v>
      </c>
      <c r="C458" s="47" t="s">
        <v>353</v>
      </c>
      <c r="D458" s="69" t="s">
        <v>168</v>
      </c>
      <c r="E458" s="49" t="s">
        <v>159</v>
      </c>
      <c r="F458" s="51">
        <v>0.58499999999999996</v>
      </c>
      <c r="G458" s="88">
        <v>1.83</v>
      </c>
      <c r="H458" s="51">
        <f t="shared" si="41"/>
        <v>1.0705499999999999</v>
      </c>
    </row>
    <row r="459" spans="2:8" x14ac:dyDescent="0.25">
      <c r="B459" s="52" t="s">
        <v>130</v>
      </c>
      <c r="C459" s="192" t="s">
        <v>131</v>
      </c>
      <c r="D459" s="192"/>
      <c r="E459" s="192"/>
      <c r="F459" s="192"/>
      <c r="G459" s="192"/>
      <c r="H459" s="192"/>
    </row>
    <row r="460" spans="2:8" x14ac:dyDescent="0.25">
      <c r="B460" s="75"/>
      <c r="C460" s="76"/>
      <c r="D460" s="76"/>
      <c r="E460" s="76"/>
      <c r="F460" s="76"/>
      <c r="G460" s="76"/>
      <c r="H460" s="76"/>
    </row>
    <row r="462" spans="2:8" ht="15.75" x14ac:dyDescent="0.25">
      <c r="B462" s="201" t="s">
        <v>354</v>
      </c>
      <c r="C462" s="191"/>
      <c r="D462" s="191"/>
      <c r="E462" s="191"/>
      <c r="F462" s="191"/>
      <c r="G462" s="191"/>
      <c r="H462" s="191"/>
    </row>
    <row r="463" spans="2:8" x14ac:dyDescent="0.25">
      <c r="B463" s="38" t="s">
        <v>121</v>
      </c>
      <c r="C463" s="39" t="s">
        <v>122</v>
      </c>
      <c r="D463" s="38" t="s">
        <v>123</v>
      </c>
      <c r="E463" s="38" t="s">
        <v>124</v>
      </c>
      <c r="F463" s="40" t="s">
        <v>125</v>
      </c>
      <c r="G463" s="40" t="s">
        <v>126</v>
      </c>
      <c r="H463" s="41" t="s">
        <v>127</v>
      </c>
    </row>
    <row r="464" spans="2:8" x14ac:dyDescent="0.25">
      <c r="B464" s="42" t="s">
        <v>727</v>
      </c>
      <c r="C464" s="43" t="s">
        <v>728</v>
      </c>
      <c r="D464" s="44" t="s">
        <v>143</v>
      </c>
      <c r="E464" s="38" t="s">
        <v>128</v>
      </c>
      <c r="F464" s="40"/>
      <c r="G464" s="40"/>
      <c r="H464" s="45">
        <f>SUM(H467:H469)</f>
        <v>13.178519999999999</v>
      </c>
    </row>
    <row r="465" spans="2:8" x14ac:dyDescent="0.25">
      <c r="B465" s="53" t="s">
        <v>701</v>
      </c>
      <c r="C465" s="47" t="s">
        <v>153</v>
      </c>
      <c r="D465" s="69" t="s">
        <v>138</v>
      </c>
      <c r="E465" s="49" t="s">
        <v>272</v>
      </c>
      <c r="F465" s="51">
        <v>0.3</v>
      </c>
      <c r="G465" s="88">
        <v>8.24</v>
      </c>
      <c r="H465" s="51">
        <f t="shared" ref="H465:H469" si="42">F465*G465</f>
        <v>2.472</v>
      </c>
    </row>
    <row r="466" spans="2:8" x14ac:dyDescent="0.25">
      <c r="B466" s="53" t="s">
        <v>702</v>
      </c>
      <c r="C466" s="47" t="s">
        <v>703</v>
      </c>
      <c r="D466" s="69" t="s">
        <v>138</v>
      </c>
      <c r="E466" s="49" t="s">
        <v>272</v>
      </c>
      <c r="F466" s="51">
        <v>0.3</v>
      </c>
      <c r="G466" s="88">
        <v>4.8600000000000003</v>
      </c>
      <c r="H466" s="51">
        <f t="shared" si="42"/>
        <v>1.458</v>
      </c>
    </row>
    <row r="467" spans="2:8" x14ac:dyDescent="0.25">
      <c r="B467" s="46"/>
      <c r="C467" s="43" t="s">
        <v>155</v>
      </c>
      <c r="D467" s="61" t="s">
        <v>156</v>
      </c>
      <c r="E467" s="38" t="s">
        <v>139</v>
      </c>
      <c r="F467" s="62">
        <v>1.1399999999999999</v>
      </c>
      <c r="G467" s="51"/>
      <c r="H467" s="63">
        <f>(SUM(H465:H466))*(1+F467)</f>
        <v>8.4101999999999979</v>
      </c>
    </row>
    <row r="468" spans="2:8" x14ac:dyDescent="0.25">
      <c r="B468" s="53" t="s">
        <v>729</v>
      </c>
      <c r="C468" s="47" t="s">
        <v>730</v>
      </c>
      <c r="D468" s="69" t="s">
        <v>143</v>
      </c>
      <c r="E468" s="49" t="s">
        <v>159</v>
      </c>
      <c r="F468" s="51">
        <v>1.05</v>
      </c>
      <c r="G468" s="88">
        <v>4.34</v>
      </c>
      <c r="H468" s="51">
        <f t="shared" si="42"/>
        <v>4.5570000000000004</v>
      </c>
    </row>
    <row r="469" spans="2:8" ht="30" x14ac:dyDescent="0.25">
      <c r="B469" s="53" t="s">
        <v>731</v>
      </c>
      <c r="C469" s="47" t="s">
        <v>732</v>
      </c>
      <c r="D469" s="69" t="s">
        <v>135</v>
      </c>
      <c r="E469" s="49" t="s">
        <v>159</v>
      </c>
      <c r="F469" s="71">
        <v>5.9999999999999995E-4</v>
      </c>
      <c r="G469" s="88">
        <v>352.2</v>
      </c>
      <c r="H469" s="51">
        <f t="shared" si="42"/>
        <v>0.21131999999999998</v>
      </c>
    </row>
    <row r="470" spans="2:8" x14ac:dyDescent="0.25">
      <c r="B470" s="52" t="s">
        <v>130</v>
      </c>
      <c r="C470" s="192" t="s">
        <v>321</v>
      </c>
      <c r="D470" s="192"/>
      <c r="E470" s="192"/>
      <c r="F470" s="192"/>
      <c r="G470" s="192"/>
      <c r="H470" s="192"/>
    </row>
    <row r="473" spans="2:8" ht="15.75" x14ac:dyDescent="0.25">
      <c r="B473" s="191" t="s">
        <v>355</v>
      </c>
      <c r="C473" s="191"/>
      <c r="D473" s="191"/>
      <c r="E473" s="191"/>
      <c r="F473" s="191"/>
      <c r="G473" s="191"/>
      <c r="H473" s="191"/>
    </row>
    <row r="474" spans="2:8" x14ac:dyDescent="0.25">
      <c r="B474" s="38" t="s">
        <v>121</v>
      </c>
      <c r="C474" s="39" t="s">
        <v>122</v>
      </c>
      <c r="D474" s="38" t="s">
        <v>123</v>
      </c>
      <c r="E474" s="38" t="s">
        <v>124</v>
      </c>
      <c r="F474" s="40" t="s">
        <v>125</v>
      </c>
      <c r="G474" s="40" t="s">
        <v>126</v>
      </c>
      <c r="H474" s="41" t="s">
        <v>127</v>
      </c>
    </row>
    <row r="475" spans="2:8" ht="30" x14ac:dyDescent="0.25">
      <c r="B475" s="42" t="s">
        <v>356</v>
      </c>
      <c r="C475" s="43" t="s">
        <v>357</v>
      </c>
      <c r="D475" s="44" t="s">
        <v>143</v>
      </c>
      <c r="E475" s="38" t="s">
        <v>128</v>
      </c>
      <c r="F475" s="40"/>
      <c r="G475" s="40"/>
      <c r="H475" s="45">
        <f>SUM(H477:H481)</f>
        <v>50.755877249999998</v>
      </c>
    </row>
    <row r="476" spans="2:8" x14ac:dyDescent="0.25">
      <c r="B476" s="53" t="s">
        <v>154</v>
      </c>
      <c r="C476" s="47" t="s">
        <v>137</v>
      </c>
      <c r="D476" s="69" t="s">
        <v>138</v>
      </c>
      <c r="E476" s="49" t="s">
        <v>272</v>
      </c>
      <c r="F476" s="71">
        <v>7.7499999999999999E-2</v>
      </c>
      <c r="G476" s="88">
        <v>4.8600000000000003</v>
      </c>
      <c r="H476" s="51">
        <f t="shared" ref="H476:H481" si="43">F476*G476</f>
        <v>0.37665000000000004</v>
      </c>
    </row>
    <row r="477" spans="2:8" x14ac:dyDescent="0.25">
      <c r="B477" s="46"/>
      <c r="C477" s="43" t="s">
        <v>155</v>
      </c>
      <c r="D477" s="61" t="s">
        <v>156</v>
      </c>
      <c r="E477" s="38" t="s">
        <v>139</v>
      </c>
      <c r="F477" s="62">
        <v>1.1399999999999999</v>
      </c>
      <c r="G477" s="51"/>
      <c r="H477" s="63">
        <f>H476*(1+F477)</f>
        <v>0.80603099999999994</v>
      </c>
    </row>
    <row r="478" spans="2:8" x14ac:dyDescent="0.25">
      <c r="B478" s="53" t="s">
        <v>358</v>
      </c>
      <c r="C478" s="47" t="s">
        <v>158</v>
      </c>
      <c r="D478" s="69" t="s">
        <v>135</v>
      </c>
      <c r="E478" s="49" t="s">
        <v>159</v>
      </c>
      <c r="F478" s="77">
        <v>4.5750000000000001E-3</v>
      </c>
      <c r="G478" s="70">
        <v>73</v>
      </c>
      <c r="H478" s="51">
        <f t="shared" si="43"/>
        <v>0.33397500000000002</v>
      </c>
    </row>
    <row r="479" spans="2:8" x14ac:dyDescent="0.25">
      <c r="B479" s="53" t="s">
        <v>359</v>
      </c>
      <c r="C479" s="47" t="s">
        <v>167</v>
      </c>
      <c r="D479" s="69" t="s">
        <v>168</v>
      </c>
      <c r="E479" s="49" t="s">
        <v>159</v>
      </c>
      <c r="F479" s="71">
        <v>0.6825</v>
      </c>
      <c r="G479" s="51">
        <f>9.39/20</f>
        <v>0.46950000000000003</v>
      </c>
      <c r="H479" s="51">
        <f t="shared" si="43"/>
        <v>0.32043375000000002</v>
      </c>
    </row>
    <row r="480" spans="2:8" x14ac:dyDescent="0.25">
      <c r="B480" s="53" t="s">
        <v>360</v>
      </c>
      <c r="C480" s="47" t="s">
        <v>361</v>
      </c>
      <c r="D480" s="69" t="s">
        <v>168</v>
      </c>
      <c r="E480" s="49" t="s">
        <v>159</v>
      </c>
      <c r="F480" s="78">
        <v>1.3687499999999999</v>
      </c>
      <c r="G480" s="88">
        <v>0.53</v>
      </c>
      <c r="H480" s="51">
        <f t="shared" si="43"/>
        <v>0.72543749999999996</v>
      </c>
    </row>
    <row r="481" spans="2:8" x14ac:dyDescent="0.25">
      <c r="B481" s="53" t="s">
        <v>362</v>
      </c>
      <c r="C481" s="47" t="s">
        <v>363</v>
      </c>
      <c r="D481" s="69" t="s">
        <v>143</v>
      </c>
      <c r="E481" s="49" t="s">
        <v>159</v>
      </c>
      <c r="F481" s="51">
        <v>1</v>
      </c>
      <c r="G481" s="88">
        <v>48.57</v>
      </c>
      <c r="H481" s="51">
        <f t="shared" si="43"/>
        <v>48.57</v>
      </c>
    </row>
    <row r="482" spans="2:8" x14ac:dyDescent="0.25">
      <c r="B482" s="52" t="s">
        <v>130</v>
      </c>
      <c r="C482" s="192" t="s">
        <v>131</v>
      </c>
      <c r="D482" s="192"/>
      <c r="E482" s="192"/>
      <c r="F482" s="192"/>
      <c r="G482" s="192"/>
      <c r="H482" s="192"/>
    </row>
    <row r="485" spans="2:8" ht="15.75" x14ac:dyDescent="0.25">
      <c r="B485" s="191" t="s">
        <v>364</v>
      </c>
      <c r="C485" s="191"/>
      <c r="D485" s="191"/>
      <c r="E485" s="191"/>
      <c r="F485" s="191"/>
      <c r="G485" s="191"/>
      <c r="H485" s="191"/>
    </row>
    <row r="486" spans="2:8" x14ac:dyDescent="0.25">
      <c r="B486" s="38" t="s">
        <v>121</v>
      </c>
      <c r="C486" s="39" t="s">
        <v>122</v>
      </c>
      <c r="D486" s="38" t="s">
        <v>123</v>
      </c>
      <c r="E486" s="38" t="s">
        <v>124</v>
      </c>
      <c r="F486" s="40" t="s">
        <v>125</v>
      </c>
      <c r="G486" s="40" t="s">
        <v>126</v>
      </c>
      <c r="H486" s="41" t="s">
        <v>127</v>
      </c>
    </row>
    <row r="487" spans="2:8" ht="30" x14ac:dyDescent="0.25">
      <c r="B487" s="42" t="s">
        <v>365</v>
      </c>
      <c r="C487" s="43" t="s">
        <v>366</v>
      </c>
      <c r="D487" s="44" t="s">
        <v>117</v>
      </c>
      <c r="E487" s="38" t="s">
        <v>128</v>
      </c>
      <c r="F487" s="40"/>
      <c r="G487" s="40"/>
      <c r="H487" s="45">
        <f>SUM(H490:H492)</f>
        <v>9.7667200000000012</v>
      </c>
    </row>
    <row r="488" spans="2:8" x14ac:dyDescent="0.25">
      <c r="B488" s="53" t="s">
        <v>367</v>
      </c>
      <c r="C488" s="47" t="s">
        <v>368</v>
      </c>
      <c r="D488" s="69" t="s">
        <v>138</v>
      </c>
      <c r="E488" s="49" t="s">
        <v>272</v>
      </c>
      <c r="F488" s="51">
        <v>0.2</v>
      </c>
      <c r="G488" s="88">
        <v>5.13</v>
      </c>
      <c r="H488" s="51">
        <f t="shared" ref="H488:H492" si="44">F488*G488</f>
        <v>1.026</v>
      </c>
    </row>
    <row r="489" spans="2:8" x14ac:dyDescent="0.25">
      <c r="B489" s="53" t="s">
        <v>369</v>
      </c>
      <c r="C489" s="47" t="s">
        <v>370</v>
      </c>
      <c r="D489" s="69" t="s">
        <v>138</v>
      </c>
      <c r="E489" s="49" t="s">
        <v>272</v>
      </c>
      <c r="F489" s="51">
        <v>0.3</v>
      </c>
      <c r="G489" s="88">
        <v>8.24</v>
      </c>
      <c r="H489" s="51">
        <f t="shared" si="44"/>
        <v>2.472</v>
      </c>
    </row>
    <row r="490" spans="2:8" x14ac:dyDescent="0.25">
      <c r="B490" s="46"/>
      <c r="C490" s="43" t="s">
        <v>155</v>
      </c>
      <c r="D490" s="61" t="s">
        <v>156</v>
      </c>
      <c r="E490" s="38" t="s">
        <v>139</v>
      </c>
      <c r="F490" s="62">
        <v>1.1399999999999999</v>
      </c>
      <c r="G490" s="51"/>
      <c r="H490" s="63">
        <f>(SUM(H488:H489))*(1+F490)</f>
        <v>7.4857199999999997</v>
      </c>
    </row>
    <row r="491" spans="2:8" x14ac:dyDescent="0.25">
      <c r="B491" s="53" t="s">
        <v>371</v>
      </c>
      <c r="C491" s="47" t="s">
        <v>372</v>
      </c>
      <c r="D491" s="69" t="s">
        <v>168</v>
      </c>
      <c r="E491" s="49" t="s">
        <v>159</v>
      </c>
      <c r="F491" s="51">
        <v>0.7</v>
      </c>
      <c r="G491" s="93">
        <v>2.99</v>
      </c>
      <c r="H491" s="51">
        <f t="shared" si="44"/>
        <v>2.093</v>
      </c>
    </row>
    <row r="492" spans="2:8" x14ac:dyDescent="0.25">
      <c r="B492" s="53" t="s">
        <v>373</v>
      </c>
      <c r="C492" s="47" t="s">
        <v>374</v>
      </c>
      <c r="D492" s="69" t="s">
        <v>117</v>
      </c>
      <c r="E492" s="49" t="s">
        <v>159</v>
      </c>
      <c r="F492" s="51">
        <v>0.4</v>
      </c>
      <c r="G492" s="88">
        <v>0.47</v>
      </c>
      <c r="H492" s="51">
        <f t="shared" si="44"/>
        <v>0.188</v>
      </c>
    </row>
    <row r="493" spans="2:8" x14ac:dyDescent="0.25">
      <c r="B493" s="52" t="s">
        <v>130</v>
      </c>
      <c r="C493" s="192" t="s">
        <v>131</v>
      </c>
      <c r="D493" s="192"/>
      <c r="E493" s="192"/>
      <c r="F493" s="192"/>
      <c r="G493" s="192"/>
      <c r="H493" s="192"/>
    </row>
    <row r="495" spans="2:8" ht="17.25" customHeight="1" x14ac:dyDescent="0.25"/>
    <row r="496" spans="2:8" ht="15.75" x14ac:dyDescent="0.25">
      <c r="B496" s="201" t="s">
        <v>375</v>
      </c>
      <c r="C496" s="191"/>
      <c r="D496" s="191"/>
      <c r="E496" s="191"/>
      <c r="F496" s="191"/>
      <c r="G496" s="191"/>
      <c r="H496" s="191"/>
    </row>
    <row r="497" spans="2:8" x14ac:dyDescent="0.25">
      <c r="B497" s="38" t="s">
        <v>121</v>
      </c>
      <c r="C497" s="39" t="s">
        <v>122</v>
      </c>
      <c r="D497" s="38" t="s">
        <v>123</v>
      </c>
      <c r="E497" s="38" t="s">
        <v>124</v>
      </c>
      <c r="F497" s="40" t="s">
        <v>125</v>
      </c>
      <c r="G497" s="40" t="s">
        <v>126</v>
      </c>
      <c r="H497" s="41" t="s">
        <v>127</v>
      </c>
    </row>
    <row r="498" spans="2:8" x14ac:dyDescent="0.25">
      <c r="B498" s="42" t="s">
        <v>376</v>
      </c>
      <c r="C498" s="43" t="s">
        <v>377</v>
      </c>
      <c r="D498" s="44" t="s">
        <v>117</v>
      </c>
      <c r="E498" s="38" t="s">
        <v>128</v>
      </c>
      <c r="F498" s="40"/>
      <c r="G498" s="40"/>
      <c r="H498" s="45">
        <f>SUM(H501:H502)</f>
        <v>18.462939333333331</v>
      </c>
    </row>
    <row r="499" spans="2:8" x14ac:dyDescent="0.25">
      <c r="B499" s="53" t="s">
        <v>367</v>
      </c>
      <c r="C499" s="47" t="s">
        <v>368</v>
      </c>
      <c r="D499" s="69" t="s">
        <v>138</v>
      </c>
      <c r="E499" s="49" t="s">
        <v>272</v>
      </c>
      <c r="F499" s="51">
        <v>0.33</v>
      </c>
      <c r="G499" s="88">
        <v>5.13</v>
      </c>
      <c r="H499" s="51">
        <f t="shared" ref="H499:H502" si="45">F499*G499</f>
        <v>1.6929000000000001</v>
      </c>
    </row>
    <row r="500" spans="2:8" x14ac:dyDescent="0.25">
      <c r="B500" s="53" t="s">
        <v>369</v>
      </c>
      <c r="C500" s="47" t="s">
        <v>378</v>
      </c>
      <c r="D500" s="69" t="s">
        <v>138</v>
      </c>
      <c r="E500" s="49" t="s">
        <v>272</v>
      </c>
      <c r="F500" s="51">
        <v>0.5</v>
      </c>
      <c r="G500" s="88">
        <v>8.24</v>
      </c>
      <c r="H500" s="51">
        <f t="shared" si="45"/>
        <v>4.12</v>
      </c>
    </row>
    <row r="501" spans="2:8" x14ac:dyDescent="0.25">
      <c r="B501" s="46"/>
      <c r="C501" s="43" t="s">
        <v>155</v>
      </c>
      <c r="D501" s="61" t="s">
        <v>156</v>
      </c>
      <c r="E501" s="38" t="s">
        <v>139</v>
      </c>
      <c r="F501" s="62">
        <v>1.1399999999999999</v>
      </c>
      <c r="G501" s="51"/>
      <c r="H501" s="63">
        <f>(SUM(H499:H500))*(1+F501)</f>
        <v>12.439605999999998</v>
      </c>
    </row>
    <row r="502" spans="2:8" x14ac:dyDescent="0.25">
      <c r="B502" s="53" t="s">
        <v>379</v>
      </c>
      <c r="C502" s="47" t="s">
        <v>1084</v>
      </c>
      <c r="D502" s="69" t="s">
        <v>168</v>
      </c>
      <c r="E502" s="49" t="s">
        <v>159</v>
      </c>
      <c r="F502" s="51">
        <v>1.3</v>
      </c>
      <c r="G502" s="51">
        <f>139/30</f>
        <v>4.6333333333333337</v>
      </c>
      <c r="H502" s="51">
        <f t="shared" si="45"/>
        <v>6.0233333333333343</v>
      </c>
    </row>
    <row r="503" spans="2:8" x14ac:dyDescent="0.25">
      <c r="B503" s="52" t="s">
        <v>130</v>
      </c>
      <c r="C503" s="192" t="s">
        <v>131</v>
      </c>
      <c r="D503" s="192"/>
      <c r="E503" s="192"/>
      <c r="F503" s="192"/>
      <c r="G503" s="192"/>
      <c r="H503" s="192"/>
    </row>
    <row r="506" spans="2:8" ht="15.75" x14ac:dyDescent="0.25">
      <c r="B506" s="201" t="s">
        <v>380</v>
      </c>
      <c r="C506" s="191"/>
      <c r="D506" s="191"/>
      <c r="E506" s="191"/>
      <c r="F506" s="191"/>
      <c r="G506" s="191"/>
      <c r="H506" s="191"/>
    </row>
    <row r="507" spans="2:8" x14ac:dyDescent="0.25">
      <c r="B507" s="38" t="s">
        <v>121</v>
      </c>
      <c r="C507" s="39" t="s">
        <v>122</v>
      </c>
      <c r="D507" s="38" t="s">
        <v>123</v>
      </c>
      <c r="E507" s="38" t="s">
        <v>124</v>
      </c>
      <c r="F507" s="40" t="s">
        <v>125</v>
      </c>
      <c r="G507" s="40" t="s">
        <v>126</v>
      </c>
      <c r="H507" s="41" t="s">
        <v>127</v>
      </c>
    </row>
    <row r="508" spans="2:8" x14ac:dyDescent="0.25">
      <c r="B508" s="42" t="s">
        <v>381</v>
      </c>
      <c r="C508" s="43" t="s">
        <v>382</v>
      </c>
      <c r="D508" s="44" t="s">
        <v>117</v>
      </c>
      <c r="E508" s="38" t="s">
        <v>128</v>
      </c>
      <c r="F508" s="40"/>
      <c r="G508" s="88"/>
      <c r="H508" s="45">
        <f>SUM(H511:H514)</f>
        <v>14.788309999999996</v>
      </c>
    </row>
    <row r="509" spans="2:8" x14ac:dyDescent="0.25">
      <c r="B509" s="53" t="s">
        <v>367</v>
      </c>
      <c r="C509" s="47" t="s">
        <v>383</v>
      </c>
      <c r="D509" s="69" t="s">
        <v>138</v>
      </c>
      <c r="E509" s="49" t="s">
        <v>272</v>
      </c>
      <c r="F509" s="51">
        <v>0.35</v>
      </c>
      <c r="G509" s="88">
        <v>5.13</v>
      </c>
      <c r="H509" s="51">
        <f t="shared" ref="H509:H514" si="46">F509*G509</f>
        <v>1.7954999999999999</v>
      </c>
    </row>
    <row r="510" spans="2:8" x14ac:dyDescent="0.25">
      <c r="B510" s="53" t="s">
        <v>369</v>
      </c>
      <c r="C510" s="47" t="s">
        <v>378</v>
      </c>
      <c r="D510" s="69" t="s">
        <v>138</v>
      </c>
      <c r="E510" s="49" t="s">
        <v>272</v>
      </c>
      <c r="F510" s="51">
        <v>0.4</v>
      </c>
      <c r="G510" s="88">
        <v>8.24</v>
      </c>
      <c r="H510" s="51">
        <f t="shared" si="46"/>
        <v>3.2960000000000003</v>
      </c>
    </row>
    <row r="511" spans="2:8" x14ac:dyDescent="0.25">
      <c r="B511" s="46"/>
      <c r="C511" s="43" t="s">
        <v>155</v>
      </c>
      <c r="D511" s="61" t="s">
        <v>156</v>
      </c>
      <c r="E511" s="38" t="s">
        <v>139</v>
      </c>
      <c r="F511" s="62">
        <v>1.1399999999999999</v>
      </c>
      <c r="G511" s="51"/>
      <c r="H511" s="63">
        <f>(SUM(H509:H510))*(1+F511)</f>
        <v>10.895809999999997</v>
      </c>
    </row>
    <row r="512" spans="2:8" x14ac:dyDescent="0.25">
      <c r="B512" s="53" t="s">
        <v>384</v>
      </c>
      <c r="C512" s="47" t="s">
        <v>385</v>
      </c>
      <c r="D512" s="69" t="s">
        <v>173</v>
      </c>
      <c r="E512" s="49" t="s">
        <v>159</v>
      </c>
      <c r="F512" s="51">
        <v>0.12</v>
      </c>
      <c r="G512" s="88">
        <v>10.52</v>
      </c>
      <c r="H512" s="51">
        <f t="shared" si="46"/>
        <v>1.2624</v>
      </c>
    </row>
    <row r="513" spans="2:8" x14ac:dyDescent="0.25">
      <c r="B513" s="53" t="s">
        <v>386</v>
      </c>
      <c r="C513" s="47" t="s">
        <v>374</v>
      </c>
      <c r="D513" s="69" t="s">
        <v>123</v>
      </c>
      <c r="E513" s="49" t="s">
        <v>159</v>
      </c>
      <c r="F513" s="51">
        <v>0.25</v>
      </c>
      <c r="G513" s="88">
        <v>0.47</v>
      </c>
      <c r="H513" s="51">
        <f t="shared" si="46"/>
        <v>0.11749999999999999</v>
      </c>
    </row>
    <row r="514" spans="2:8" x14ac:dyDescent="0.25">
      <c r="B514" s="53" t="s">
        <v>387</v>
      </c>
      <c r="C514" s="47" t="s">
        <v>388</v>
      </c>
      <c r="D514" s="69" t="s">
        <v>173</v>
      </c>
      <c r="E514" s="49" t="s">
        <v>159</v>
      </c>
      <c r="F514" s="51">
        <v>0.17</v>
      </c>
      <c r="G514" s="88">
        <v>14.78</v>
      </c>
      <c r="H514" s="51">
        <f t="shared" si="46"/>
        <v>2.5125999999999999</v>
      </c>
    </row>
    <row r="515" spans="2:8" x14ac:dyDescent="0.25">
      <c r="B515" s="52" t="s">
        <v>130</v>
      </c>
      <c r="C515" s="192" t="s">
        <v>131</v>
      </c>
      <c r="D515" s="192"/>
      <c r="E515" s="192"/>
      <c r="F515" s="192"/>
      <c r="G515" s="192"/>
      <c r="H515" s="192"/>
    </row>
    <row r="518" spans="2:8" ht="15.75" x14ac:dyDescent="0.25">
      <c r="B518" s="194" t="s">
        <v>389</v>
      </c>
      <c r="C518" s="194"/>
      <c r="D518" s="194"/>
      <c r="E518" s="194"/>
      <c r="F518" s="194"/>
      <c r="G518" s="194"/>
      <c r="H518" s="194"/>
    </row>
    <row r="519" spans="2:8" x14ac:dyDescent="0.25">
      <c r="B519" s="38" t="s">
        <v>121</v>
      </c>
      <c r="C519" s="39" t="s">
        <v>122</v>
      </c>
      <c r="D519" s="38" t="s">
        <v>123</v>
      </c>
      <c r="E519" s="38" t="s">
        <v>124</v>
      </c>
      <c r="F519" s="40" t="s">
        <v>125</v>
      </c>
      <c r="G519" s="40" t="s">
        <v>126</v>
      </c>
      <c r="H519" s="41" t="s">
        <v>127</v>
      </c>
    </row>
    <row r="520" spans="2:8" x14ac:dyDescent="0.25">
      <c r="B520" s="42" t="s">
        <v>733</v>
      </c>
      <c r="C520" s="43" t="s">
        <v>734</v>
      </c>
      <c r="D520" s="44" t="s">
        <v>117</v>
      </c>
      <c r="E520" s="38" t="s">
        <v>128</v>
      </c>
      <c r="F520" s="40"/>
      <c r="G520" s="40"/>
      <c r="H520" s="45">
        <f>SUM(H523:H525)</f>
        <v>26.305839999999993</v>
      </c>
    </row>
    <row r="521" spans="2:8" x14ac:dyDescent="0.25">
      <c r="B521" s="53" t="s">
        <v>701</v>
      </c>
      <c r="C521" s="47" t="s">
        <v>735</v>
      </c>
      <c r="D521" s="69" t="s">
        <v>138</v>
      </c>
      <c r="E521" s="49" t="s">
        <v>272</v>
      </c>
      <c r="F521" s="49">
        <v>0.85</v>
      </c>
      <c r="G521" s="88">
        <v>8.24</v>
      </c>
      <c r="H521" s="51">
        <f t="shared" ref="H521:H525" si="47">F521*G521</f>
        <v>7.0039999999999996</v>
      </c>
    </row>
    <row r="522" spans="2:8" x14ac:dyDescent="0.25">
      <c r="B522" s="53" t="s">
        <v>702</v>
      </c>
      <c r="C522" s="47" t="s">
        <v>703</v>
      </c>
      <c r="D522" s="69" t="s">
        <v>138</v>
      </c>
      <c r="E522" s="49" t="s">
        <v>272</v>
      </c>
      <c r="F522" s="49">
        <v>0.7</v>
      </c>
      <c r="G522" s="88">
        <v>4.8600000000000003</v>
      </c>
      <c r="H522" s="51">
        <f t="shared" si="47"/>
        <v>3.4020000000000001</v>
      </c>
    </row>
    <row r="523" spans="2:8" x14ac:dyDescent="0.25">
      <c r="B523" s="46"/>
      <c r="C523" s="43" t="s">
        <v>155</v>
      </c>
      <c r="D523" s="61" t="s">
        <v>156</v>
      </c>
      <c r="E523" s="38" t="s">
        <v>139</v>
      </c>
      <c r="F523" s="62">
        <v>1.1399999999999999</v>
      </c>
      <c r="G523" s="51"/>
      <c r="H523" s="63">
        <f>(SUM(H521:H522))*(1+F523)</f>
        <v>22.268839999999994</v>
      </c>
    </row>
    <row r="524" spans="2:8" x14ac:dyDescent="0.25">
      <c r="B524" s="53" t="s">
        <v>736</v>
      </c>
      <c r="C524" s="47" t="s">
        <v>737</v>
      </c>
      <c r="D524" s="69" t="s">
        <v>168</v>
      </c>
      <c r="E524" s="49" t="s">
        <v>159</v>
      </c>
      <c r="F524" s="49">
        <v>0.35</v>
      </c>
      <c r="G524" s="88">
        <v>3.82</v>
      </c>
      <c r="H524" s="51">
        <f t="shared" si="47"/>
        <v>1.337</v>
      </c>
    </row>
    <row r="525" spans="2:8" x14ac:dyDescent="0.25">
      <c r="B525" s="53" t="s">
        <v>738</v>
      </c>
      <c r="C525" s="47" t="s">
        <v>739</v>
      </c>
      <c r="D525" s="69" t="s">
        <v>168</v>
      </c>
      <c r="E525" s="49" t="s">
        <v>159</v>
      </c>
      <c r="F525" s="49">
        <v>4.5</v>
      </c>
      <c r="G525" s="88">
        <v>0.6</v>
      </c>
      <c r="H525" s="51">
        <f t="shared" si="47"/>
        <v>2.6999999999999997</v>
      </c>
    </row>
    <row r="526" spans="2:8" x14ac:dyDescent="0.25">
      <c r="B526" s="52" t="s">
        <v>130</v>
      </c>
      <c r="C526" s="192" t="s">
        <v>321</v>
      </c>
      <c r="D526" s="192"/>
      <c r="E526" s="192"/>
      <c r="F526" s="192"/>
      <c r="G526" s="192"/>
      <c r="H526" s="192"/>
    </row>
    <row r="529" spans="2:8" ht="15.75" x14ac:dyDescent="0.25">
      <c r="B529" s="194" t="s">
        <v>390</v>
      </c>
      <c r="C529" s="194"/>
      <c r="D529" s="194"/>
      <c r="E529" s="194"/>
      <c r="F529" s="194"/>
      <c r="G529" s="194"/>
      <c r="H529" s="194"/>
    </row>
    <row r="530" spans="2:8" x14ac:dyDescent="0.25">
      <c r="B530" s="38" t="s">
        <v>121</v>
      </c>
      <c r="C530" s="39" t="s">
        <v>122</v>
      </c>
      <c r="D530" s="38" t="s">
        <v>123</v>
      </c>
      <c r="E530" s="38" t="s">
        <v>124</v>
      </c>
      <c r="F530" s="40" t="s">
        <v>125</v>
      </c>
      <c r="G530" s="40" t="s">
        <v>126</v>
      </c>
      <c r="H530" s="41" t="s">
        <v>127</v>
      </c>
    </row>
    <row r="531" spans="2:8" x14ac:dyDescent="0.25">
      <c r="B531" s="42" t="s">
        <v>391</v>
      </c>
      <c r="C531" s="43" t="s">
        <v>392</v>
      </c>
      <c r="D531" s="44" t="s">
        <v>117</v>
      </c>
      <c r="E531" s="38" t="s">
        <v>128</v>
      </c>
      <c r="F531" s="40"/>
      <c r="G531" s="40"/>
      <c r="H531" s="45">
        <f>SUM(H534:H535)</f>
        <v>10.335144</v>
      </c>
    </row>
    <row r="532" spans="2:8" x14ac:dyDescent="0.25">
      <c r="B532" s="53" t="s">
        <v>393</v>
      </c>
      <c r="C532" s="47" t="s">
        <v>394</v>
      </c>
      <c r="D532" s="69" t="s">
        <v>138</v>
      </c>
      <c r="E532" s="49" t="s">
        <v>272</v>
      </c>
      <c r="F532" s="51">
        <v>0.39</v>
      </c>
      <c r="G532" s="88">
        <v>8.24</v>
      </c>
      <c r="H532" s="51">
        <f t="shared" ref="H532:H535" si="48">F532*G532</f>
        <v>3.2136</v>
      </c>
    </row>
    <row r="533" spans="2:8" x14ac:dyDescent="0.25">
      <c r="B533" s="53" t="s">
        <v>154</v>
      </c>
      <c r="C533" s="47" t="s">
        <v>137</v>
      </c>
      <c r="D533" s="69" t="s">
        <v>138</v>
      </c>
      <c r="E533" s="49" t="s">
        <v>272</v>
      </c>
      <c r="F533" s="51">
        <v>0.1</v>
      </c>
      <c r="G533" s="88">
        <v>4.8600000000000003</v>
      </c>
      <c r="H533" s="51">
        <f t="shared" si="48"/>
        <v>0.48600000000000004</v>
      </c>
    </row>
    <row r="534" spans="2:8" x14ac:dyDescent="0.25">
      <c r="B534" s="53"/>
      <c r="C534" s="43" t="s">
        <v>155</v>
      </c>
      <c r="D534" s="61" t="s">
        <v>156</v>
      </c>
      <c r="E534" s="38" t="s">
        <v>139</v>
      </c>
      <c r="F534" s="62">
        <v>1.1399999999999999</v>
      </c>
      <c r="G534" s="51"/>
      <c r="H534" s="63">
        <f>(SUM(H532:H533))*(1+F534)</f>
        <v>7.9171439999999995</v>
      </c>
    </row>
    <row r="535" spans="2:8" x14ac:dyDescent="0.25">
      <c r="B535" s="53" t="s">
        <v>395</v>
      </c>
      <c r="C535" s="47" t="s">
        <v>396</v>
      </c>
      <c r="D535" s="69" t="s">
        <v>168</v>
      </c>
      <c r="E535" s="49" t="s">
        <v>159</v>
      </c>
      <c r="F535" s="51">
        <v>6.2</v>
      </c>
      <c r="G535" s="40">
        <v>0.39</v>
      </c>
      <c r="H535" s="51">
        <f t="shared" si="48"/>
        <v>2.4180000000000001</v>
      </c>
    </row>
    <row r="536" spans="2:8" x14ac:dyDescent="0.25">
      <c r="B536" s="52" t="s">
        <v>130</v>
      </c>
      <c r="C536" s="192" t="s">
        <v>131</v>
      </c>
      <c r="D536" s="192"/>
      <c r="E536" s="192"/>
      <c r="F536" s="192"/>
      <c r="G536" s="192"/>
      <c r="H536" s="192"/>
    </row>
    <row r="539" spans="2:8" ht="15.75" x14ac:dyDescent="0.25">
      <c r="B539" s="201" t="s">
        <v>397</v>
      </c>
      <c r="C539" s="191"/>
      <c r="D539" s="191"/>
      <c r="E539" s="191"/>
      <c r="F539" s="191"/>
      <c r="G539" s="191"/>
      <c r="H539" s="191"/>
    </row>
    <row r="540" spans="2:8" x14ac:dyDescent="0.25">
      <c r="B540" s="38" t="s">
        <v>121</v>
      </c>
      <c r="C540" s="39" t="s">
        <v>122</v>
      </c>
      <c r="D540" s="38" t="s">
        <v>123</v>
      </c>
      <c r="E540" s="38" t="s">
        <v>124</v>
      </c>
      <c r="F540" s="40" t="s">
        <v>125</v>
      </c>
      <c r="G540" s="40" t="s">
        <v>126</v>
      </c>
      <c r="H540" s="41" t="s">
        <v>127</v>
      </c>
    </row>
    <row r="541" spans="2:8" x14ac:dyDescent="0.25">
      <c r="B541" s="42" t="s">
        <v>381</v>
      </c>
      <c r="C541" s="43" t="s">
        <v>382</v>
      </c>
      <c r="D541" s="44" t="s">
        <v>117</v>
      </c>
      <c r="E541" s="38" t="s">
        <v>128</v>
      </c>
      <c r="F541" s="40"/>
      <c r="G541" s="40"/>
      <c r="H541" s="45">
        <f>SUM(H544:H547)</f>
        <v>14.788309999999996</v>
      </c>
    </row>
    <row r="542" spans="2:8" x14ac:dyDescent="0.25">
      <c r="B542" s="53" t="s">
        <v>367</v>
      </c>
      <c r="C542" s="47" t="s">
        <v>383</v>
      </c>
      <c r="D542" s="69" t="s">
        <v>138</v>
      </c>
      <c r="E542" s="49" t="s">
        <v>272</v>
      </c>
      <c r="F542" s="51">
        <v>0.35</v>
      </c>
      <c r="G542" s="88">
        <v>5.13</v>
      </c>
      <c r="H542" s="51">
        <f t="shared" ref="H542:H547" si="49">F542*G542</f>
        <v>1.7954999999999999</v>
      </c>
    </row>
    <row r="543" spans="2:8" x14ac:dyDescent="0.25">
      <c r="B543" s="53" t="s">
        <v>369</v>
      </c>
      <c r="C543" s="47" t="s">
        <v>378</v>
      </c>
      <c r="D543" s="69" t="s">
        <v>138</v>
      </c>
      <c r="E543" s="49" t="s">
        <v>272</v>
      </c>
      <c r="F543" s="51">
        <v>0.4</v>
      </c>
      <c r="G543" s="88">
        <v>8.24</v>
      </c>
      <c r="H543" s="51">
        <f t="shared" si="49"/>
        <v>3.2960000000000003</v>
      </c>
    </row>
    <row r="544" spans="2:8" x14ac:dyDescent="0.25">
      <c r="B544" s="53"/>
      <c r="C544" s="43" t="s">
        <v>155</v>
      </c>
      <c r="D544" s="61" t="s">
        <v>156</v>
      </c>
      <c r="E544" s="38" t="s">
        <v>139</v>
      </c>
      <c r="F544" s="62">
        <v>1.1399999999999999</v>
      </c>
      <c r="G544" s="51"/>
      <c r="H544" s="63">
        <f>(SUM(H542:H543))*(1+F544)</f>
        <v>10.895809999999997</v>
      </c>
    </row>
    <row r="545" spans="2:8" x14ac:dyDescent="0.25">
      <c r="B545" s="53" t="s">
        <v>384</v>
      </c>
      <c r="C545" s="47" t="s">
        <v>385</v>
      </c>
      <c r="D545" s="69" t="s">
        <v>173</v>
      </c>
      <c r="E545" s="49" t="s">
        <v>159</v>
      </c>
      <c r="F545" s="51">
        <v>0.12</v>
      </c>
      <c r="G545" s="88">
        <v>10.52</v>
      </c>
      <c r="H545" s="51">
        <f t="shared" si="49"/>
        <v>1.2624</v>
      </c>
    </row>
    <row r="546" spans="2:8" x14ac:dyDescent="0.25">
      <c r="B546" s="53" t="s">
        <v>386</v>
      </c>
      <c r="C546" s="47" t="s">
        <v>374</v>
      </c>
      <c r="D546" s="69" t="s">
        <v>123</v>
      </c>
      <c r="E546" s="49" t="s">
        <v>159</v>
      </c>
      <c r="F546" s="51">
        <v>0.25</v>
      </c>
      <c r="G546" s="88">
        <v>0.47</v>
      </c>
      <c r="H546" s="51">
        <f t="shared" si="49"/>
        <v>0.11749999999999999</v>
      </c>
    </row>
    <row r="547" spans="2:8" x14ac:dyDescent="0.25">
      <c r="B547" s="53" t="s">
        <v>387</v>
      </c>
      <c r="C547" s="47" t="s">
        <v>388</v>
      </c>
      <c r="D547" s="69" t="s">
        <v>173</v>
      </c>
      <c r="E547" s="49" t="s">
        <v>159</v>
      </c>
      <c r="F547" s="51">
        <v>0.17</v>
      </c>
      <c r="G547" s="88">
        <v>14.78</v>
      </c>
      <c r="H547" s="51">
        <f t="shared" si="49"/>
        <v>2.5125999999999999</v>
      </c>
    </row>
    <row r="548" spans="2:8" x14ac:dyDescent="0.25">
      <c r="B548" s="52" t="s">
        <v>130</v>
      </c>
      <c r="C548" s="192" t="s">
        <v>131</v>
      </c>
      <c r="D548" s="192"/>
      <c r="E548" s="192"/>
      <c r="F548" s="192"/>
      <c r="G548" s="192"/>
      <c r="H548" s="192"/>
    </row>
    <row r="551" spans="2:8" ht="15.75" x14ac:dyDescent="0.25">
      <c r="B551" s="201" t="s">
        <v>398</v>
      </c>
      <c r="C551" s="191"/>
      <c r="D551" s="191"/>
      <c r="E551" s="191"/>
      <c r="F551" s="191"/>
      <c r="G551" s="191"/>
      <c r="H551" s="191"/>
    </row>
    <row r="552" spans="2:8" x14ac:dyDescent="0.25">
      <c r="B552" s="38" t="s">
        <v>121</v>
      </c>
      <c r="C552" s="39" t="s">
        <v>122</v>
      </c>
      <c r="D552" s="38" t="s">
        <v>123</v>
      </c>
      <c r="E552" s="38" t="s">
        <v>124</v>
      </c>
      <c r="F552" s="40" t="s">
        <v>125</v>
      </c>
      <c r="G552" s="40" t="s">
        <v>126</v>
      </c>
      <c r="H552" s="41" t="s">
        <v>127</v>
      </c>
    </row>
    <row r="553" spans="2:8" x14ac:dyDescent="0.25">
      <c r="B553" s="42" t="s">
        <v>399</v>
      </c>
      <c r="C553" s="43" t="s">
        <v>400</v>
      </c>
      <c r="D553" s="44" t="s">
        <v>117</v>
      </c>
      <c r="E553" s="38" t="s">
        <v>128</v>
      </c>
      <c r="F553" s="40"/>
      <c r="G553" s="40"/>
      <c r="H553" s="45">
        <f>SUM(H554:H554)</f>
        <v>25</v>
      </c>
    </row>
    <row r="554" spans="2:8" ht="30" x14ac:dyDescent="0.25">
      <c r="B554" s="53" t="s">
        <v>401</v>
      </c>
      <c r="C554" s="47" t="s">
        <v>402</v>
      </c>
      <c r="D554" s="69" t="s">
        <v>117</v>
      </c>
      <c r="E554" s="49" t="s">
        <v>159</v>
      </c>
      <c r="F554" s="51">
        <v>1</v>
      </c>
      <c r="G554" s="82">
        <v>25</v>
      </c>
      <c r="H554" s="51">
        <f t="shared" ref="H554" si="50">F554*G554</f>
        <v>25</v>
      </c>
    </row>
    <row r="555" spans="2:8" x14ac:dyDescent="0.25">
      <c r="B555" s="52" t="s">
        <v>130</v>
      </c>
      <c r="C555" s="192" t="s">
        <v>131</v>
      </c>
      <c r="D555" s="192"/>
      <c r="E555" s="192"/>
      <c r="F555" s="192"/>
      <c r="G555" s="192"/>
      <c r="H555" s="192"/>
    </row>
    <row r="558" spans="2:8" ht="15.75" customHeight="1" x14ac:dyDescent="0.25">
      <c r="B558" s="201" t="s">
        <v>403</v>
      </c>
      <c r="C558" s="191"/>
      <c r="D558" s="191"/>
      <c r="E558" s="191"/>
      <c r="F558" s="191"/>
      <c r="G558" s="191"/>
      <c r="H558" s="191"/>
    </row>
    <row r="559" spans="2:8" x14ac:dyDescent="0.25">
      <c r="B559" s="38" t="s">
        <v>121</v>
      </c>
      <c r="C559" s="39" t="s">
        <v>122</v>
      </c>
      <c r="D559" s="38" t="s">
        <v>123</v>
      </c>
      <c r="E559" s="38" t="s">
        <v>124</v>
      </c>
      <c r="F559" s="40" t="s">
        <v>125</v>
      </c>
      <c r="G559" s="40" t="s">
        <v>126</v>
      </c>
      <c r="H559" s="41" t="s">
        <v>127</v>
      </c>
    </row>
    <row r="560" spans="2:8" x14ac:dyDescent="0.25">
      <c r="B560" s="42" t="s">
        <v>404</v>
      </c>
      <c r="C560" s="74" t="s">
        <v>405</v>
      </c>
      <c r="D560" s="44" t="s">
        <v>117</v>
      </c>
      <c r="E560" s="38" t="s">
        <v>128</v>
      </c>
      <c r="F560" s="40"/>
      <c r="G560" s="40"/>
      <c r="H560" s="45">
        <f>SUM(H563:H565)</f>
        <v>14.156309999999998</v>
      </c>
    </row>
    <row r="561" spans="2:8" x14ac:dyDescent="0.25">
      <c r="B561" s="53" t="s">
        <v>406</v>
      </c>
      <c r="C561" s="47" t="s">
        <v>383</v>
      </c>
      <c r="D561" s="69" t="s">
        <v>138</v>
      </c>
      <c r="E561" s="49" t="s">
        <v>272</v>
      </c>
      <c r="F561" s="51">
        <v>0.25</v>
      </c>
      <c r="G561" s="88">
        <v>5.13</v>
      </c>
      <c r="H561" s="51">
        <f t="shared" ref="H561:H565" si="51">F561*G561</f>
        <v>1.2825</v>
      </c>
    </row>
    <row r="562" spans="2:8" x14ac:dyDescent="0.25">
      <c r="B562" s="53" t="s">
        <v>407</v>
      </c>
      <c r="C562" s="47" t="s">
        <v>370</v>
      </c>
      <c r="D562" s="69" t="s">
        <v>138</v>
      </c>
      <c r="E562" s="49" t="s">
        <v>272</v>
      </c>
      <c r="F562" s="51">
        <v>0.35</v>
      </c>
      <c r="G562" s="88">
        <v>8.24</v>
      </c>
      <c r="H562" s="51">
        <f t="shared" si="51"/>
        <v>2.8839999999999999</v>
      </c>
    </row>
    <row r="563" spans="2:8" x14ac:dyDescent="0.25">
      <c r="B563" s="53"/>
      <c r="C563" s="43" t="s">
        <v>155</v>
      </c>
      <c r="D563" s="61" t="s">
        <v>156</v>
      </c>
      <c r="E563" s="38" t="s">
        <v>139</v>
      </c>
      <c r="F563" s="62">
        <v>1.1399999999999999</v>
      </c>
      <c r="G563" s="51"/>
      <c r="H563" s="63">
        <f>(SUM(H561:H562))*(1+F563)</f>
        <v>8.9163099999999993</v>
      </c>
    </row>
    <row r="564" spans="2:8" x14ac:dyDescent="0.25">
      <c r="B564" s="53" t="s">
        <v>408</v>
      </c>
      <c r="C564" s="47" t="s">
        <v>409</v>
      </c>
      <c r="D564" s="69" t="s">
        <v>168</v>
      </c>
      <c r="E564" s="49" t="s">
        <v>159</v>
      </c>
      <c r="F564" s="51">
        <v>0.7</v>
      </c>
      <c r="G564" s="82">
        <f>42.9/6</f>
        <v>7.1499999999999995</v>
      </c>
      <c r="H564" s="51">
        <f t="shared" si="51"/>
        <v>5.004999999999999</v>
      </c>
    </row>
    <row r="565" spans="2:8" x14ac:dyDescent="0.25">
      <c r="B565" s="53" t="s">
        <v>373</v>
      </c>
      <c r="C565" s="47" t="s">
        <v>410</v>
      </c>
      <c r="D565" s="69" t="s">
        <v>123</v>
      </c>
      <c r="E565" s="49" t="s">
        <v>159</v>
      </c>
      <c r="F565" s="51">
        <v>0.5</v>
      </c>
      <c r="G565" s="88">
        <v>0.47</v>
      </c>
      <c r="H565" s="51">
        <f t="shared" si="51"/>
        <v>0.23499999999999999</v>
      </c>
    </row>
    <row r="566" spans="2:8" x14ac:dyDescent="0.25">
      <c r="B566" s="52" t="s">
        <v>130</v>
      </c>
      <c r="C566" s="192" t="s">
        <v>131</v>
      </c>
      <c r="D566" s="192"/>
      <c r="E566" s="192"/>
      <c r="F566" s="192"/>
      <c r="G566" s="192"/>
      <c r="H566" s="192"/>
    </row>
    <row r="569" spans="2:8" ht="15.75" customHeight="1" x14ac:dyDescent="0.25">
      <c r="B569" s="201" t="s">
        <v>411</v>
      </c>
      <c r="C569" s="191"/>
      <c r="D569" s="191"/>
      <c r="E569" s="191"/>
      <c r="F569" s="191"/>
      <c r="G569" s="191"/>
      <c r="H569" s="191"/>
    </row>
    <row r="570" spans="2:8" x14ac:dyDescent="0.25">
      <c r="B570" s="38" t="s">
        <v>121</v>
      </c>
      <c r="C570" s="39" t="s">
        <v>122</v>
      </c>
      <c r="D570" s="38" t="s">
        <v>123</v>
      </c>
      <c r="E570" s="38" t="s">
        <v>124</v>
      </c>
      <c r="F570" s="40" t="s">
        <v>125</v>
      </c>
      <c r="G570" s="40" t="s">
        <v>126</v>
      </c>
      <c r="H570" s="41" t="s">
        <v>127</v>
      </c>
    </row>
    <row r="571" spans="2:8" x14ac:dyDescent="0.25">
      <c r="B571" s="42" t="s">
        <v>412</v>
      </c>
      <c r="C571" s="74" t="s">
        <v>413</v>
      </c>
      <c r="D571" s="44" t="s">
        <v>117</v>
      </c>
      <c r="E571" s="38" t="s">
        <v>128</v>
      </c>
      <c r="F571" s="40"/>
      <c r="G571" s="40"/>
      <c r="H571" s="45">
        <f>SUM(H574:H576)</f>
        <v>14.10732</v>
      </c>
    </row>
    <row r="572" spans="2:8" x14ac:dyDescent="0.25">
      <c r="B572" s="53" t="s">
        <v>367</v>
      </c>
      <c r="C572" s="47" t="s">
        <v>368</v>
      </c>
      <c r="D572" s="69" t="s">
        <v>138</v>
      </c>
      <c r="E572" s="49" t="s">
        <v>272</v>
      </c>
      <c r="F572" s="51">
        <v>0.2</v>
      </c>
      <c r="G572" s="88">
        <v>5.13</v>
      </c>
      <c r="H572" s="51">
        <f t="shared" ref="H572:H576" si="52">F572*G572</f>
        <v>1.026</v>
      </c>
    </row>
    <row r="573" spans="2:8" x14ac:dyDescent="0.25">
      <c r="B573" s="53" t="s">
        <v>407</v>
      </c>
      <c r="C573" s="47" t="s">
        <v>378</v>
      </c>
      <c r="D573" s="69" t="s">
        <v>138</v>
      </c>
      <c r="E573" s="49" t="s">
        <v>272</v>
      </c>
      <c r="F573" s="51">
        <v>0.3</v>
      </c>
      <c r="G573" s="88">
        <v>8.24</v>
      </c>
      <c r="H573" s="51">
        <f t="shared" si="52"/>
        <v>2.472</v>
      </c>
    </row>
    <row r="574" spans="2:8" x14ac:dyDescent="0.25">
      <c r="B574" s="53"/>
      <c r="C574" s="43" t="s">
        <v>155</v>
      </c>
      <c r="D574" s="61" t="s">
        <v>156</v>
      </c>
      <c r="E574" s="38" t="s">
        <v>139</v>
      </c>
      <c r="F574" s="62">
        <v>1.1399999999999999</v>
      </c>
      <c r="G574" s="51"/>
      <c r="H574" s="63">
        <f>(SUM(H572:H573))*(1+F574)</f>
        <v>7.4857199999999997</v>
      </c>
    </row>
    <row r="575" spans="2:8" x14ac:dyDescent="0.25">
      <c r="B575" s="79" t="s">
        <v>414</v>
      </c>
      <c r="C575" s="47" t="s">
        <v>415</v>
      </c>
      <c r="D575" s="69" t="s">
        <v>173</v>
      </c>
      <c r="E575" s="49" t="s">
        <v>159</v>
      </c>
      <c r="F575" s="51">
        <v>0.21</v>
      </c>
      <c r="G575" s="88">
        <v>5.54</v>
      </c>
      <c r="H575" s="51">
        <f t="shared" si="52"/>
        <v>1.1634</v>
      </c>
    </row>
    <row r="576" spans="2:8" x14ac:dyDescent="0.25">
      <c r="B576" s="53" t="s">
        <v>416</v>
      </c>
      <c r="C576" s="47" t="s">
        <v>417</v>
      </c>
      <c r="D576" s="69" t="s">
        <v>173</v>
      </c>
      <c r="E576" s="49" t="s">
        <v>159</v>
      </c>
      <c r="F576" s="51">
        <v>0.66</v>
      </c>
      <c r="G576" s="93">
        <v>8.27</v>
      </c>
      <c r="H576" s="51">
        <f t="shared" si="52"/>
        <v>5.4581999999999997</v>
      </c>
    </row>
    <row r="577" spans="2:8" x14ac:dyDescent="0.25">
      <c r="B577" s="52" t="s">
        <v>130</v>
      </c>
      <c r="C577" s="192" t="s">
        <v>131</v>
      </c>
      <c r="D577" s="192"/>
      <c r="E577" s="192"/>
      <c r="F577" s="192"/>
      <c r="G577" s="192"/>
      <c r="H577" s="192"/>
    </row>
    <row r="580" spans="2:8" ht="15.75" customHeight="1" x14ac:dyDescent="0.25">
      <c r="B580" s="201" t="s">
        <v>418</v>
      </c>
      <c r="C580" s="191"/>
      <c r="D580" s="191"/>
      <c r="E580" s="191"/>
      <c r="F580" s="191"/>
      <c r="G580" s="191"/>
      <c r="H580" s="191"/>
    </row>
    <row r="581" spans="2:8" x14ac:dyDescent="0.25">
      <c r="B581" s="38" t="s">
        <v>121</v>
      </c>
      <c r="C581" s="39" t="s">
        <v>122</v>
      </c>
      <c r="D581" s="38" t="s">
        <v>123</v>
      </c>
      <c r="E581" s="38" t="s">
        <v>124</v>
      </c>
      <c r="F581" s="40" t="s">
        <v>125</v>
      </c>
      <c r="G581" s="40" t="s">
        <v>126</v>
      </c>
      <c r="H581" s="41" t="s">
        <v>127</v>
      </c>
    </row>
    <row r="582" spans="2:8" ht="30" x14ac:dyDescent="0.25">
      <c r="B582" s="42" t="s">
        <v>419</v>
      </c>
      <c r="C582" s="74" t="s">
        <v>420</v>
      </c>
      <c r="D582" s="44" t="s">
        <v>421</v>
      </c>
      <c r="E582" s="38" t="s">
        <v>128</v>
      </c>
      <c r="F582" s="40"/>
      <c r="G582" s="40"/>
      <c r="H582" s="45">
        <f>SUM(H587:H598)</f>
        <v>708.19734999999991</v>
      </c>
    </row>
    <row r="583" spans="2:8" x14ac:dyDescent="0.25">
      <c r="B583" s="53" t="s">
        <v>198</v>
      </c>
      <c r="C583" s="47" t="s">
        <v>199</v>
      </c>
      <c r="D583" s="69" t="s">
        <v>138</v>
      </c>
      <c r="E583" s="49" t="s">
        <v>272</v>
      </c>
      <c r="F583" s="51">
        <v>3.75</v>
      </c>
      <c r="G583" s="88">
        <v>5.13</v>
      </c>
      <c r="H583" s="51">
        <f t="shared" ref="H583:H598" si="53">F583*G583</f>
        <v>19.237500000000001</v>
      </c>
    </row>
    <row r="584" spans="2:8" x14ac:dyDescent="0.25">
      <c r="B584" s="53" t="s">
        <v>148</v>
      </c>
      <c r="C584" s="47" t="s">
        <v>200</v>
      </c>
      <c r="D584" s="69" t="s">
        <v>138</v>
      </c>
      <c r="E584" s="49" t="s">
        <v>272</v>
      </c>
      <c r="F584" s="51">
        <v>3.75</v>
      </c>
      <c r="G584" s="88">
        <v>8.24</v>
      </c>
      <c r="H584" s="51">
        <f t="shared" si="53"/>
        <v>30.900000000000002</v>
      </c>
    </row>
    <row r="585" spans="2:8" x14ac:dyDescent="0.25">
      <c r="B585" s="53" t="s">
        <v>225</v>
      </c>
      <c r="C585" s="80" t="s">
        <v>422</v>
      </c>
      <c r="D585" s="69" t="s">
        <v>138</v>
      </c>
      <c r="E585" s="49" t="s">
        <v>272</v>
      </c>
      <c r="F585" s="51">
        <v>1.4</v>
      </c>
      <c r="G585" s="88">
        <v>8.24</v>
      </c>
      <c r="H585" s="51">
        <f t="shared" si="53"/>
        <v>11.536</v>
      </c>
    </row>
    <row r="586" spans="2:8" x14ac:dyDescent="0.25">
      <c r="B586" s="53" t="s">
        <v>154</v>
      </c>
      <c r="C586" s="47" t="s">
        <v>137</v>
      </c>
      <c r="D586" s="69" t="s">
        <v>138</v>
      </c>
      <c r="E586" s="49" t="s">
        <v>272</v>
      </c>
      <c r="F586" s="51">
        <v>1.4</v>
      </c>
      <c r="G586" s="88">
        <v>4.8600000000000003</v>
      </c>
      <c r="H586" s="51">
        <f t="shared" si="53"/>
        <v>6.8040000000000003</v>
      </c>
    </row>
    <row r="587" spans="2:8" x14ac:dyDescent="0.25">
      <c r="B587" s="53"/>
      <c r="C587" s="43" t="s">
        <v>155</v>
      </c>
      <c r="D587" s="61" t="s">
        <v>156</v>
      </c>
      <c r="E587" s="38" t="s">
        <v>139</v>
      </c>
      <c r="F587" s="62">
        <v>1.1399999999999999</v>
      </c>
      <c r="G587" s="51"/>
      <c r="H587" s="63">
        <f>(SUM(H583:H586))*(1+F587)</f>
        <v>146.54184999999998</v>
      </c>
    </row>
    <row r="588" spans="2:8" x14ac:dyDescent="0.25">
      <c r="B588" s="53" t="s">
        <v>423</v>
      </c>
      <c r="C588" s="47" t="s">
        <v>424</v>
      </c>
      <c r="D588" s="69" t="s">
        <v>168</v>
      </c>
      <c r="E588" s="49" t="s">
        <v>159</v>
      </c>
      <c r="F588" s="71">
        <v>1.06E-2</v>
      </c>
      <c r="G588" s="51">
        <v>73</v>
      </c>
      <c r="H588" s="51">
        <f t="shared" si="53"/>
        <v>0.77380000000000004</v>
      </c>
    </row>
    <row r="589" spans="2:8" x14ac:dyDescent="0.25">
      <c r="B589" s="53" t="s">
        <v>425</v>
      </c>
      <c r="C589" s="47" t="s">
        <v>167</v>
      </c>
      <c r="D589" s="69" t="s">
        <v>168</v>
      </c>
      <c r="E589" s="49" t="s">
        <v>159</v>
      </c>
      <c r="F589" s="51">
        <v>1.72</v>
      </c>
      <c r="G589" s="57">
        <v>0.73</v>
      </c>
      <c r="H589" s="51">
        <f t="shared" si="53"/>
        <v>1.2556</v>
      </c>
    </row>
    <row r="590" spans="2:8" x14ac:dyDescent="0.25">
      <c r="B590" s="53" t="s">
        <v>326</v>
      </c>
      <c r="C590" s="80" t="s">
        <v>426</v>
      </c>
      <c r="D590" s="44" t="s">
        <v>168</v>
      </c>
      <c r="E590" s="49" t="s">
        <v>159</v>
      </c>
      <c r="F590" s="51">
        <v>1.72</v>
      </c>
      <c r="G590" s="51">
        <v>0.53</v>
      </c>
      <c r="H590" s="51">
        <f t="shared" si="53"/>
        <v>0.91160000000000008</v>
      </c>
    </row>
    <row r="591" spans="2:8" x14ac:dyDescent="0.25">
      <c r="B591" s="53" t="s">
        <v>427</v>
      </c>
      <c r="C591" s="47" t="s">
        <v>428</v>
      </c>
      <c r="D591" s="69" t="s">
        <v>421</v>
      </c>
      <c r="E591" s="49" t="s">
        <v>159</v>
      </c>
      <c r="F591" s="51">
        <v>0.25</v>
      </c>
      <c r="G591" s="51">
        <v>10.89</v>
      </c>
      <c r="H591" s="51">
        <f t="shared" si="53"/>
        <v>2.7225000000000001</v>
      </c>
    </row>
    <row r="592" spans="2:8" ht="30" x14ac:dyDescent="0.25">
      <c r="B592" s="53" t="s">
        <v>429</v>
      </c>
      <c r="C592" s="47" t="s">
        <v>430</v>
      </c>
      <c r="D592" s="69" t="s">
        <v>421</v>
      </c>
      <c r="E592" s="49" t="s">
        <v>159</v>
      </c>
      <c r="F592" s="51">
        <v>8</v>
      </c>
      <c r="G592" s="57">
        <f>29.19/10</f>
        <v>2.919</v>
      </c>
      <c r="H592" s="51">
        <f t="shared" si="53"/>
        <v>23.352</v>
      </c>
    </row>
    <row r="593" spans="2:8" ht="30" x14ac:dyDescent="0.25">
      <c r="B593" s="53" t="s">
        <v>431</v>
      </c>
      <c r="C593" s="47" t="s">
        <v>432</v>
      </c>
      <c r="D593" s="69" t="s">
        <v>421</v>
      </c>
      <c r="E593" s="49" t="s">
        <v>159</v>
      </c>
      <c r="F593" s="51">
        <v>6</v>
      </c>
      <c r="G593" s="57">
        <v>39</v>
      </c>
      <c r="H593" s="51">
        <f t="shared" si="53"/>
        <v>234</v>
      </c>
    </row>
    <row r="594" spans="2:8" ht="30" x14ac:dyDescent="0.25">
      <c r="B594" s="53" t="s">
        <v>433</v>
      </c>
      <c r="C594" s="47" t="s">
        <v>1085</v>
      </c>
      <c r="D594" s="69" t="s">
        <v>421</v>
      </c>
      <c r="E594" s="49" t="s">
        <v>159</v>
      </c>
      <c r="F594" s="51">
        <v>1</v>
      </c>
      <c r="G594" s="57">
        <v>120.47</v>
      </c>
      <c r="H594" s="51">
        <f t="shared" si="53"/>
        <v>120.47</v>
      </c>
    </row>
    <row r="595" spans="2:8" ht="30" x14ac:dyDescent="0.25">
      <c r="B595" s="53" t="s">
        <v>435</v>
      </c>
      <c r="C595" s="47" t="s">
        <v>436</v>
      </c>
      <c r="D595" s="69" t="s">
        <v>421</v>
      </c>
      <c r="E595" s="49" t="s">
        <v>159</v>
      </c>
      <c r="F595" s="51">
        <v>2</v>
      </c>
      <c r="G595" s="57">
        <v>3.33</v>
      </c>
      <c r="H595" s="51">
        <f t="shared" si="53"/>
        <v>6.66</v>
      </c>
    </row>
    <row r="596" spans="2:8" x14ac:dyDescent="0.25">
      <c r="B596" s="53" t="s">
        <v>437</v>
      </c>
      <c r="C596" s="47" t="s">
        <v>438</v>
      </c>
      <c r="D596" s="69" t="s">
        <v>421</v>
      </c>
      <c r="E596" s="49" t="s">
        <v>159</v>
      </c>
      <c r="F596" s="51">
        <v>1</v>
      </c>
      <c r="G596" s="51">
        <v>98.65</v>
      </c>
      <c r="H596" s="51">
        <f t="shared" si="53"/>
        <v>98.65</v>
      </c>
    </row>
    <row r="597" spans="2:8" ht="45" x14ac:dyDescent="0.25">
      <c r="B597" s="53" t="s">
        <v>439</v>
      </c>
      <c r="C597" s="47" t="s">
        <v>440</v>
      </c>
      <c r="D597" s="69" t="s">
        <v>421</v>
      </c>
      <c r="E597" s="49" t="s">
        <v>159</v>
      </c>
      <c r="F597" s="51">
        <v>1</v>
      </c>
      <c r="G597" s="51">
        <v>40.369999999999997</v>
      </c>
      <c r="H597" s="51">
        <f t="shared" si="53"/>
        <v>40.369999999999997</v>
      </c>
    </row>
    <row r="598" spans="2:8" x14ac:dyDescent="0.25">
      <c r="B598" s="53" t="s">
        <v>441</v>
      </c>
      <c r="C598" s="47" t="s">
        <v>442</v>
      </c>
      <c r="D598" s="69" t="s">
        <v>421</v>
      </c>
      <c r="E598" s="49" t="s">
        <v>159</v>
      </c>
      <c r="F598" s="51">
        <v>3</v>
      </c>
      <c r="G598" s="93">
        <v>10.83</v>
      </c>
      <c r="H598" s="51">
        <f t="shared" si="53"/>
        <v>32.49</v>
      </c>
    </row>
    <row r="599" spans="2:8" x14ac:dyDescent="0.25">
      <c r="B599" s="52" t="s">
        <v>130</v>
      </c>
      <c r="C599" s="195" t="s">
        <v>131</v>
      </c>
      <c r="D599" s="196"/>
      <c r="E599" s="196"/>
      <c r="F599" s="196"/>
      <c r="G599" s="196"/>
      <c r="H599" s="197"/>
    </row>
    <row r="602" spans="2:8" ht="15.75" customHeight="1" x14ac:dyDescent="0.25">
      <c r="B602" s="201" t="s">
        <v>443</v>
      </c>
      <c r="C602" s="191"/>
      <c r="D602" s="191"/>
      <c r="E602" s="191"/>
      <c r="F602" s="191"/>
      <c r="G602" s="191"/>
      <c r="H602" s="191"/>
    </row>
    <row r="603" spans="2:8" x14ac:dyDescent="0.25">
      <c r="B603" s="38" t="s">
        <v>121</v>
      </c>
      <c r="C603" s="39" t="s">
        <v>122</v>
      </c>
      <c r="D603" s="38" t="s">
        <v>123</v>
      </c>
      <c r="E603" s="38" t="s">
        <v>124</v>
      </c>
      <c r="F603" s="40" t="s">
        <v>125</v>
      </c>
      <c r="G603" s="40" t="s">
        <v>126</v>
      </c>
      <c r="H603" s="41" t="s">
        <v>127</v>
      </c>
    </row>
    <row r="604" spans="2:8" ht="30" x14ac:dyDescent="0.25">
      <c r="B604" s="42" t="s">
        <v>444</v>
      </c>
      <c r="C604" s="74" t="s">
        <v>420</v>
      </c>
      <c r="D604" s="44" t="s">
        <v>421</v>
      </c>
      <c r="E604" s="38" t="s">
        <v>128</v>
      </c>
      <c r="F604" s="40"/>
      <c r="G604" s="40"/>
      <c r="H604" s="45">
        <f>SUM(H609:H620)</f>
        <v>793.16734999999994</v>
      </c>
    </row>
    <row r="605" spans="2:8" x14ac:dyDescent="0.25">
      <c r="B605" s="53" t="s">
        <v>198</v>
      </c>
      <c r="C605" s="47" t="s">
        <v>199</v>
      </c>
      <c r="D605" s="69" t="s">
        <v>138</v>
      </c>
      <c r="E605" s="49" t="s">
        <v>272</v>
      </c>
      <c r="F605" s="51">
        <v>3.75</v>
      </c>
      <c r="G605" s="88">
        <v>5.13</v>
      </c>
      <c r="H605" s="51">
        <f t="shared" ref="H605:H620" si="54">F605*G605</f>
        <v>19.237500000000001</v>
      </c>
    </row>
    <row r="606" spans="2:8" x14ac:dyDescent="0.25">
      <c r="B606" s="53" t="s">
        <v>148</v>
      </c>
      <c r="C606" s="47" t="s">
        <v>200</v>
      </c>
      <c r="D606" s="69" t="s">
        <v>138</v>
      </c>
      <c r="E606" s="49" t="s">
        <v>272</v>
      </c>
      <c r="F606" s="51">
        <v>3.75</v>
      </c>
      <c r="G606" s="88">
        <v>8.24</v>
      </c>
      <c r="H606" s="51">
        <f t="shared" si="54"/>
        <v>30.900000000000002</v>
      </c>
    </row>
    <row r="607" spans="2:8" x14ac:dyDescent="0.25">
      <c r="B607" s="53" t="s">
        <v>225</v>
      </c>
      <c r="C607" s="80" t="s">
        <v>422</v>
      </c>
      <c r="D607" s="69" t="s">
        <v>138</v>
      </c>
      <c r="E607" s="49" t="s">
        <v>272</v>
      </c>
      <c r="F607" s="51">
        <v>1.4</v>
      </c>
      <c r="G607" s="88">
        <v>8.24</v>
      </c>
      <c r="H607" s="51">
        <f t="shared" si="54"/>
        <v>11.536</v>
      </c>
    </row>
    <row r="608" spans="2:8" x14ac:dyDescent="0.25">
      <c r="B608" s="53" t="s">
        <v>154</v>
      </c>
      <c r="C608" s="47" t="s">
        <v>137</v>
      </c>
      <c r="D608" s="69" t="s">
        <v>138</v>
      </c>
      <c r="E608" s="49" t="s">
        <v>272</v>
      </c>
      <c r="F608" s="51">
        <v>1.4</v>
      </c>
      <c r="G608" s="88">
        <v>4.8600000000000003</v>
      </c>
      <c r="H608" s="51">
        <f t="shared" si="54"/>
        <v>6.8040000000000003</v>
      </c>
    </row>
    <row r="609" spans="2:8" x14ac:dyDescent="0.25">
      <c r="B609" s="53"/>
      <c r="C609" s="43" t="s">
        <v>155</v>
      </c>
      <c r="D609" s="61" t="s">
        <v>156</v>
      </c>
      <c r="E609" s="38" t="s">
        <v>139</v>
      </c>
      <c r="F609" s="62">
        <v>1.1399999999999999</v>
      </c>
      <c r="G609" s="51"/>
      <c r="H609" s="63">
        <f>(SUM(H605:H608))*(1+F609)</f>
        <v>146.54184999999998</v>
      </c>
    </row>
    <row r="610" spans="2:8" x14ac:dyDescent="0.25">
      <c r="B610" s="53" t="s">
        <v>423</v>
      </c>
      <c r="C610" s="47" t="s">
        <v>424</v>
      </c>
      <c r="D610" s="69" t="s">
        <v>168</v>
      </c>
      <c r="E610" s="49" t="s">
        <v>159</v>
      </c>
      <c r="F610" s="71">
        <v>1.06E-2</v>
      </c>
      <c r="G610" s="51">
        <v>73</v>
      </c>
      <c r="H610" s="51">
        <f t="shared" si="54"/>
        <v>0.77380000000000004</v>
      </c>
    </row>
    <row r="611" spans="2:8" x14ac:dyDescent="0.25">
      <c r="B611" s="53" t="s">
        <v>425</v>
      </c>
      <c r="C611" s="47" t="s">
        <v>167</v>
      </c>
      <c r="D611" s="69" t="s">
        <v>168</v>
      </c>
      <c r="E611" s="49" t="s">
        <v>159</v>
      </c>
      <c r="F611" s="51">
        <v>1.72</v>
      </c>
      <c r="G611" s="88">
        <v>0.73</v>
      </c>
      <c r="H611" s="51">
        <f t="shared" si="54"/>
        <v>1.2556</v>
      </c>
    </row>
    <row r="612" spans="2:8" x14ac:dyDescent="0.25">
      <c r="B612" s="53" t="s">
        <v>326</v>
      </c>
      <c r="C612" s="80" t="s">
        <v>426</v>
      </c>
      <c r="D612" s="44" t="s">
        <v>168</v>
      </c>
      <c r="E612" s="49" t="s">
        <v>159</v>
      </c>
      <c r="F612" s="51">
        <v>1.72</v>
      </c>
      <c r="G612" s="88">
        <v>0.53</v>
      </c>
      <c r="H612" s="51">
        <f t="shared" si="54"/>
        <v>0.91160000000000008</v>
      </c>
    </row>
    <row r="613" spans="2:8" x14ac:dyDescent="0.25">
      <c r="B613" s="53" t="s">
        <v>427</v>
      </c>
      <c r="C613" s="47" t="s">
        <v>428</v>
      </c>
      <c r="D613" s="69" t="s">
        <v>421</v>
      </c>
      <c r="E613" s="49" t="s">
        <v>159</v>
      </c>
      <c r="F613" s="51">
        <v>0.25</v>
      </c>
      <c r="G613" s="88">
        <v>10.89</v>
      </c>
      <c r="H613" s="51">
        <f t="shared" si="54"/>
        <v>2.7225000000000001</v>
      </c>
    </row>
    <row r="614" spans="2:8" ht="30" x14ac:dyDescent="0.25">
      <c r="B614" s="53" t="s">
        <v>429</v>
      </c>
      <c r="C614" s="47" t="s">
        <v>430</v>
      </c>
      <c r="D614" s="69" t="s">
        <v>421</v>
      </c>
      <c r="E614" s="49" t="s">
        <v>159</v>
      </c>
      <c r="F614" s="51">
        <v>8</v>
      </c>
      <c r="G614" s="57">
        <f>29.19/10</f>
        <v>2.919</v>
      </c>
      <c r="H614" s="51">
        <f t="shared" si="54"/>
        <v>23.352</v>
      </c>
    </row>
    <row r="615" spans="2:8" ht="30" x14ac:dyDescent="0.25">
      <c r="B615" s="53" t="s">
        <v>431</v>
      </c>
      <c r="C615" s="47" t="s">
        <v>432</v>
      </c>
      <c r="D615" s="69" t="s">
        <v>421</v>
      </c>
      <c r="E615" s="49" t="s">
        <v>159</v>
      </c>
      <c r="F615" s="51">
        <v>6</v>
      </c>
      <c r="G615" s="57">
        <v>39</v>
      </c>
      <c r="H615" s="51">
        <f t="shared" si="54"/>
        <v>234</v>
      </c>
    </row>
    <row r="616" spans="2:8" ht="30" x14ac:dyDescent="0.25">
      <c r="B616" s="53" t="s">
        <v>433</v>
      </c>
      <c r="C616" s="47" t="s">
        <v>434</v>
      </c>
      <c r="D616" s="69" t="s">
        <v>421</v>
      </c>
      <c r="E616" s="49" t="s">
        <v>159</v>
      </c>
      <c r="F616" s="51">
        <v>1</v>
      </c>
      <c r="G616" s="57">
        <v>120.47</v>
      </c>
      <c r="H616" s="51">
        <f t="shared" si="54"/>
        <v>120.47</v>
      </c>
    </row>
    <row r="617" spans="2:8" ht="30" x14ac:dyDescent="0.25">
      <c r="B617" s="53" t="s">
        <v>435</v>
      </c>
      <c r="C617" s="47" t="s">
        <v>436</v>
      </c>
      <c r="D617" s="69" t="s">
        <v>421</v>
      </c>
      <c r="E617" s="49" t="s">
        <v>159</v>
      </c>
      <c r="F617" s="51">
        <v>2</v>
      </c>
      <c r="G617" s="57">
        <v>3.33</v>
      </c>
      <c r="H617" s="51">
        <f t="shared" si="54"/>
        <v>6.66</v>
      </c>
    </row>
    <row r="618" spans="2:8" ht="30" x14ac:dyDescent="0.25">
      <c r="B618" s="53" t="s">
        <v>445</v>
      </c>
      <c r="C618" s="47" t="s">
        <v>446</v>
      </c>
      <c r="D618" s="69" t="s">
        <v>421</v>
      </c>
      <c r="E618" s="49" t="s">
        <v>159</v>
      </c>
      <c r="F618" s="51">
        <v>1</v>
      </c>
      <c r="G618" s="94">
        <v>183.62</v>
      </c>
      <c r="H618" s="51">
        <f t="shared" si="54"/>
        <v>183.62</v>
      </c>
    </row>
    <row r="619" spans="2:8" ht="45" x14ac:dyDescent="0.25">
      <c r="B619" s="53" t="s">
        <v>439</v>
      </c>
      <c r="C619" s="47" t="s">
        <v>440</v>
      </c>
      <c r="D619" s="69" t="s">
        <v>421</v>
      </c>
      <c r="E619" s="49" t="s">
        <v>159</v>
      </c>
      <c r="F619" s="51">
        <v>1</v>
      </c>
      <c r="G619" s="88">
        <v>40.369999999999997</v>
      </c>
      <c r="H619" s="51">
        <f t="shared" si="54"/>
        <v>40.369999999999997</v>
      </c>
    </row>
    <row r="620" spans="2:8" x14ac:dyDescent="0.25">
      <c r="B620" s="53" t="s">
        <v>441</v>
      </c>
      <c r="C620" s="47" t="s">
        <v>447</v>
      </c>
      <c r="D620" s="69" t="s">
        <v>421</v>
      </c>
      <c r="E620" s="49" t="s">
        <v>159</v>
      </c>
      <c r="F620" s="51">
        <v>3</v>
      </c>
      <c r="G620" s="93">
        <v>10.83</v>
      </c>
      <c r="H620" s="51">
        <f t="shared" si="54"/>
        <v>32.49</v>
      </c>
    </row>
    <row r="621" spans="2:8" x14ac:dyDescent="0.25">
      <c r="B621" s="52" t="s">
        <v>130</v>
      </c>
      <c r="C621" s="195" t="s">
        <v>131</v>
      </c>
      <c r="D621" s="196"/>
      <c r="E621" s="196"/>
      <c r="F621" s="196"/>
      <c r="G621" s="196"/>
      <c r="H621" s="197"/>
    </row>
    <row r="624" spans="2:8" ht="15.75" customHeight="1" x14ac:dyDescent="0.25">
      <c r="B624" s="201" t="s">
        <v>448</v>
      </c>
      <c r="C624" s="191"/>
      <c r="D624" s="191"/>
      <c r="E624" s="191"/>
      <c r="F624" s="191"/>
      <c r="G624" s="191"/>
      <c r="H624" s="191"/>
    </row>
    <row r="625" spans="2:8" x14ac:dyDescent="0.25">
      <c r="B625" s="38" t="s">
        <v>121</v>
      </c>
      <c r="C625" s="39" t="s">
        <v>122</v>
      </c>
      <c r="D625" s="38" t="s">
        <v>123</v>
      </c>
      <c r="E625" s="38" t="s">
        <v>124</v>
      </c>
      <c r="F625" s="40" t="s">
        <v>125</v>
      </c>
      <c r="G625" s="40" t="s">
        <v>126</v>
      </c>
      <c r="H625" s="41" t="s">
        <v>127</v>
      </c>
    </row>
    <row r="626" spans="2:8" ht="30" x14ac:dyDescent="0.25">
      <c r="B626" s="42" t="s">
        <v>449</v>
      </c>
      <c r="C626" s="74" t="s">
        <v>450</v>
      </c>
      <c r="D626" s="44" t="s">
        <v>421</v>
      </c>
      <c r="E626" s="38" t="s">
        <v>128</v>
      </c>
      <c r="F626" s="40"/>
      <c r="G626" s="40"/>
      <c r="H626" s="45">
        <f>SUM(H631:H642)</f>
        <v>1220.80735</v>
      </c>
    </row>
    <row r="627" spans="2:8" x14ac:dyDescent="0.25">
      <c r="B627" s="53" t="s">
        <v>198</v>
      </c>
      <c r="C627" s="47" t="s">
        <v>199</v>
      </c>
      <c r="D627" s="69" t="s">
        <v>138</v>
      </c>
      <c r="E627" s="49" t="s">
        <v>272</v>
      </c>
      <c r="F627" s="51">
        <v>3.75</v>
      </c>
      <c r="G627" s="88">
        <v>5.13</v>
      </c>
      <c r="H627" s="51">
        <f t="shared" ref="H627:H642" si="55">F627*G627</f>
        <v>19.237500000000001</v>
      </c>
    </row>
    <row r="628" spans="2:8" x14ac:dyDescent="0.25">
      <c r="B628" s="53" t="s">
        <v>148</v>
      </c>
      <c r="C628" s="47" t="s">
        <v>200</v>
      </c>
      <c r="D628" s="69" t="s">
        <v>138</v>
      </c>
      <c r="E628" s="49" t="s">
        <v>272</v>
      </c>
      <c r="F628" s="51">
        <v>3.75</v>
      </c>
      <c r="G628" s="88">
        <v>8.24</v>
      </c>
      <c r="H628" s="51">
        <f t="shared" si="55"/>
        <v>30.900000000000002</v>
      </c>
    </row>
    <row r="629" spans="2:8" x14ac:dyDescent="0.25">
      <c r="B629" s="53" t="s">
        <v>225</v>
      </c>
      <c r="C629" s="80" t="s">
        <v>422</v>
      </c>
      <c r="D629" s="69" t="s">
        <v>138</v>
      </c>
      <c r="E629" s="49" t="s">
        <v>272</v>
      </c>
      <c r="F629" s="51">
        <v>1.4</v>
      </c>
      <c r="G629" s="88">
        <v>8.24</v>
      </c>
      <c r="H629" s="51">
        <f t="shared" si="55"/>
        <v>11.536</v>
      </c>
    </row>
    <row r="630" spans="2:8" x14ac:dyDescent="0.25">
      <c r="B630" s="53" t="s">
        <v>154</v>
      </c>
      <c r="C630" s="47" t="s">
        <v>137</v>
      </c>
      <c r="D630" s="69" t="s">
        <v>138</v>
      </c>
      <c r="E630" s="49" t="s">
        <v>272</v>
      </c>
      <c r="F630" s="51">
        <v>1.4</v>
      </c>
      <c r="G630" s="88">
        <v>4.8600000000000003</v>
      </c>
      <c r="H630" s="51">
        <f t="shared" si="55"/>
        <v>6.8040000000000003</v>
      </c>
    </row>
    <row r="631" spans="2:8" x14ac:dyDescent="0.25">
      <c r="B631" s="53"/>
      <c r="C631" s="43" t="s">
        <v>155</v>
      </c>
      <c r="D631" s="61" t="s">
        <v>156</v>
      </c>
      <c r="E631" s="38" t="s">
        <v>139</v>
      </c>
      <c r="F631" s="62">
        <v>1.1399999999999999</v>
      </c>
      <c r="G631" s="51"/>
      <c r="H631" s="63">
        <f>(SUM(H627:H630))*(1+F631)</f>
        <v>146.54184999999998</v>
      </c>
    </row>
    <row r="632" spans="2:8" x14ac:dyDescent="0.25">
      <c r="B632" s="53" t="s">
        <v>423</v>
      </c>
      <c r="C632" s="47" t="s">
        <v>424</v>
      </c>
      <c r="D632" s="69" t="s">
        <v>168</v>
      </c>
      <c r="E632" s="49" t="s">
        <v>159</v>
      </c>
      <c r="F632" s="71">
        <v>1.06E-2</v>
      </c>
      <c r="G632" s="51">
        <v>73</v>
      </c>
      <c r="H632" s="51">
        <f t="shared" si="55"/>
        <v>0.77380000000000004</v>
      </c>
    </row>
    <row r="633" spans="2:8" x14ac:dyDescent="0.25">
      <c r="B633" s="53" t="s">
        <v>425</v>
      </c>
      <c r="C633" s="47" t="s">
        <v>167</v>
      </c>
      <c r="D633" s="69" t="s">
        <v>168</v>
      </c>
      <c r="E633" s="49" t="s">
        <v>159</v>
      </c>
      <c r="F633" s="51">
        <v>1.72</v>
      </c>
      <c r="G633" s="88">
        <v>0.73</v>
      </c>
      <c r="H633" s="51">
        <f t="shared" si="55"/>
        <v>1.2556</v>
      </c>
    </row>
    <row r="634" spans="2:8" x14ac:dyDescent="0.25">
      <c r="B634" s="53" t="s">
        <v>326</v>
      </c>
      <c r="C634" s="80" t="s">
        <v>426</v>
      </c>
      <c r="D634" s="44" t="s">
        <v>168</v>
      </c>
      <c r="E634" s="49" t="s">
        <v>159</v>
      </c>
      <c r="F634" s="51">
        <v>1.72</v>
      </c>
      <c r="G634" s="88">
        <v>0.53</v>
      </c>
      <c r="H634" s="51">
        <f t="shared" si="55"/>
        <v>0.91160000000000008</v>
      </c>
    </row>
    <row r="635" spans="2:8" x14ac:dyDescent="0.25">
      <c r="B635" s="53" t="s">
        <v>427</v>
      </c>
      <c r="C635" s="47" t="s">
        <v>428</v>
      </c>
      <c r="D635" s="69" t="s">
        <v>421</v>
      </c>
      <c r="E635" s="49" t="s">
        <v>159</v>
      </c>
      <c r="F635" s="51">
        <v>0.25</v>
      </c>
      <c r="G635" s="88">
        <v>10.89</v>
      </c>
      <c r="H635" s="51">
        <f t="shared" si="55"/>
        <v>2.7225000000000001</v>
      </c>
    </row>
    <row r="636" spans="2:8" ht="30" x14ac:dyDescent="0.25">
      <c r="B636" s="53" t="s">
        <v>429</v>
      </c>
      <c r="C636" s="47" t="s">
        <v>430</v>
      </c>
      <c r="D636" s="69" t="s">
        <v>421</v>
      </c>
      <c r="E636" s="49" t="s">
        <v>159</v>
      </c>
      <c r="F636" s="51">
        <v>8</v>
      </c>
      <c r="G636" s="57">
        <f>29.19/10</f>
        <v>2.919</v>
      </c>
      <c r="H636" s="51">
        <f t="shared" si="55"/>
        <v>23.352</v>
      </c>
    </row>
    <row r="637" spans="2:8" ht="30" x14ac:dyDescent="0.25">
      <c r="B637" s="53" t="s">
        <v>431</v>
      </c>
      <c r="C637" s="47" t="s">
        <v>432</v>
      </c>
      <c r="D637" s="69" t="s">
        <v>421</v>
      </c>
      <c r="E637" s="49" t="s">
        <v>159</v>
      </c>
      <c r="F637" s="51">
        <v>6</v>
      </c>
      <c r="G637" s="57">
        <v>39</v>
      </c>
      <c r="H637" s="51">
        <f t="shared" si="55"/>
        <v>234</v>
      </c>
    </row>
    <row r="638" spans="2:8" ht="30" x14ac:dyDescent="0.25">
      <c r="B638" s="53" t="s">
        <v>433</v>
      </c>
      <c r="C638" s="47" t="s">
        <v>434</v>
      </c>
      <c r="D638" s="69" t="s">
        <v>421</v>
      </c>
      <c r="E638" s="49" t="s">
        <v>159</v>
      </c>
      <c r="F638" s="51">
        <v>1</v>
      </c>
      <c r="G638" s="57">
        <v>120.47</v>
      </c>
      <c r="H638" s="51">
        <f t="shared" si="55"/>
        <v>120.47</v>
      </c>
    </row>
    <row r="639" spans="2:8" ht="30" x14ac:dyDescent="0.25">
      <c r="B639" s="53" t="s">
        <v>435</v>
      </c>
      <c r="C639" s="47" t="s">
        <v>436</v>
      </c>
      <c r="D639" s="69" t="s">
        <v>421</v>
      </c>
      <c r="E639" s="49" t="s">
        <v>159</v>
      </c>
      <c r="F639" s="51">
        <v>2</v>
      </c>
      <c r="G639" s="57">
        <v>3.33</v>
      </c>
      <c r="H639" s="51">
        <f t="shared" si="55"/>
        <v>6.66</v>
      </c>
    </row>
    <row r="640" spans="2:8" x14ac:dyDescent="0.25">
      <c r="B640" s="53" t="s">
        <v>451</v>
      </c>
      <c r="C640" s="47" t="s">
        <v>452</v>
      </c>
      <c r="D640" s="69" t="s">
        <v>421</v>
      </c>
      <c r="E640" s="49" t="s">
        <v>159</v>
      </c>
      <c r="F640" s="51">
        <v>1</v>
      </c>
      <c r="G640" s="82">
        <v>601.70000000000005</v>
      </c>
      <c r="H640" s="51">
        <f t="shared" si="55"/>
        <v>601.70000000000005</v>
      </c>
    </row>
    <row r="641" spans="2:8" ht="45" x14ac:dyDescent="0.25">
      <c r="B641" s="53" t="s">
        <v>453</v>
      </c>
      <c r="C641" s="47" t="s">
        <v>454</v>
      </c>
      <c r="D641" s="69" t="s">
        <v>421</v>
      </c>
      <c r="E641" s="49" t="s">
        <v>159</v>
      </c>
      <c r="F641" s="51">
        <v>1</v>
      </c>
      <c r="G641" s="88">
        <v>49.93</v>
      </c>
      <c r="H641" s="51">
        <f t="shared" si="55"/>
        <v>49.93</v>
      </c>
    </row>
    <row r="642" spans="2:8" x14ac:dyDescent="0.25">
      <c r="B642" s="53" t="s">
        <v>441</v>
      </c>
      <c r="C642" s="47" t="s">
        <v>447</v>
      </c>
      <c r="D642" s="69" t="s">
        <v>421</v>
      </c>
      <c r="E642" s="49" t="s">
        <v>159</v>
      </c>
      <c r="F642" s="51">
        <v>3</v>
      </c>
      <c r="G642" s="88">
        <v>10.83</v>
      </c>
      <c r="H642" s="51">
        <f t="shared" si="55"/>
        <v>32.49</v>
      </c>
    </row>
    <row r="643" spans="2:8" x14ac:dyDescent="0.25">
      <c r="B643" s="52" t="s">
        <v>130</v>
      </c>
      <c r="C643" s="195" t="s">
        <v>131</v>
      </c>
      <c r="D643" s="196"/>
      <c r="E643" s="196"/>
      <c r="F643" s="196"/>
      <c r="G643" s="196"/>
      <c r="H643" s="197"/>
    </row>
    <row r="646" spans="2:8" ht="15.75" x14ac:dyDescent="0.25">
      <c r="B646" s="201" t="s">
        <v>455</v>
      </c>
      <c r="C646" s="191"/>
      <c r="D646" s="191"/>
      <c r="E646" s="191"/>
      <c r="F646" s="191"/>
      <c r="G646" s="191"/>
      <c r="H646" s="191"/>
    </row>
    <row r="647" spans="2:8" x14ac:dyDescent="0.25">
      <c r="B647" s="38" t="s">
        <v>121</v>
      </c>
      <c r="C647" s="39" t="s">
        <v>122</v>
      </c>
      <c r="D647" s="38" t="s">
        <v>123</v>
      </c>
      <c r="E647" s="38" t="s">
        <v>124</v>
      </c>
      <c r="F647" s="40" t="s">
        <v>125</v>
      </c>
      <c r="G647" s="40" t="s">
        <v>126</v>
      </c>
      <c r="H647" s="41" t="s">
        <v>127</v>
      </c>
    </row>
    <row r="648" spans="2:8" x14ac:dyDescent="0.25">
      <c r="B648" s="42" t="s">
        <v>456</v>
      </c>
      <c r="C648" s="43" t="s">
        <v>457</v>
      </c>
      <c r="D648" s="44" t="s">
        <v>117</v>
      </c>
      <c r="E648" s="38" t="s">
        <v>128</v>
      </c>
      <c r="F648" s="40"/>
      <c r="G648" s="40"/>
      <c r="H648" s="45">
        <f>SUM(H651:H656)</f>
        <v>16.747199999999999</v>
      </c>
    </row>
    <row r="649" spans="2:8" x14ac:dyDescent="0.25">
      <c r="B649" s="53" t="s">
        <v>406</v>
      </c>
      <c r="C649" s="47" t="s">
        <v>368</v>
      </c>
      <c r="D649" s="69" t="s">
        <v>138</v>
      </c>
      <c r="E649" s="49" t="s">
        <v>272</v>
      </c>
      <c r="F649" s="51">
        <v>0.3</v>
      </c>
      <c r="G649" s="88">
        <v>5.13</v>
      </c>
      <c r="H649" s="51">
        <f t="shared" ref="H649:H656" si="56">F649*G649</f>
        <v>1.5389999999999999</v>
      </c>
    </row>
    <row r="650" spans="2:8" x14ac:dyDescent="0.25">
      <c r="B650" s="53" t="s">
        <v>369</v>
      </c>
      <c r="C650" s="47" t="s">
        <v>378</v>
      </c>
      <c r="D650" s="69" t="s">
        <v>138</v>
      </c>
      <c r="E650" s="49" t="s">
        <v>272</v>
      </c>
      <c r="F650" s="51">
        <v>0.4</v>
      </c>
      <c r="G650" s="88">
        <v>8.24</v>
      </c>
      <c r="H650" s="51">
        <f t="shared" si="56"/>
        <v>3.2960000000000003</v>
      </c>
    </row>
    <row r="651" spans="2:8" x14ac:dyDescent="0.25">
      <c r="B651" s="53"/>
      <c r="C651" s="43" t="s">
        <v>155</v>
      </c>
      <c r="D651" s="61" t="s">
        <v>156</v>
      </c>
      <c r="E651" s="38" t="s">
        <v>139</v>
      </c>
      <c r="F651" s="62">
        <v>1.1399999999999999</v>
      </c>
      <c r="G651" s="51"/>
      <c r="H651" s="63">
        <f>(SUM(H649:H650))*(1+F651)</f>
        <v>10.346899999999998</v>
      </c>
    </row>
    <row r="652" spans="2:8" x14ac:dyDescent="0.25">
      <c r="B652" s="79" t="s">
        <v>458</v>
      </c>
      <c r="C652" s="47" t="s">
        <v>459</v>
      </c>
      <c r="D652" s="69" t="s">
        <v>173</v>
      </c>
      <c r="E652" s="49" t="s">
        <v>159</v>
      </c>
      <c r="F652" s="51">
        <v>0.03</v>
      </c>
      <c r="G652" s="88"/>
      <c r="H652" s="51">
        <f t="shared" si="56"/>
        <v>0</v>
      </c>
    </row>
    <row r="653" spans="2:8" x14ac:dyDescent="0.25">
      <c r="B653" s="79" t="s">
        <v>460</v>
      </c>
      <c r="C653" s="47" t="s">
        <v>461</v>
      </c>
      <c r="D653" s="69" t="s">
        <v>173</v>
      </c>
      <c r="E653" s="49" t="s">
        <v>159</v>
      </c>
      <c r="F653" s="51">
        <v>0.06</v>
      </c>
      <c r="G653" s="88">
        <v>11.32</v>
      </c>
      <c r="H653" s="51">
        <f t="shared" si="56"/>
        <v>0.67920000000000003</v>
      </c>
    </row>
    <row r="654" spans="2:8" x14ac:dyDescent="0.25">
      <c r="B654" s="79" t="s">
        <v>373</v>
      </c>
      <c r="C654" s="47" t="s">
        <v>462</v>
      </c>
      <c r="D654" s="69" t="s">
        <v>123</v>
      </c>
      <c r="E654" s="49" t="s">
        <v>159</v>
      </c>
      <c r="F654" s="51">
        <v>1</v>
      </c>
      <c r="G654" s="88">
        <v>0.47</v>
      </c>
      <c r="H654" s="51">
        <f t="shared" si="56"/>
        <v>0.47</v>
      </c>
    </row>
    <row r="655" spans="2:8" x14ac:dyDescent="0.25">
      <c r="B655" s="79" t="s">
        <v>463</v>
      </c>
      <c r="C655" s="47" t="s">
        <v>464</v>
      </c>
      <c r="D655" s="69" t="s">
        <v>173</v>
      </c>
      <c r="E655" s="49" t="s">
        <v>159</v>
      </c>
      <c r="F655" s="51">
        <v>0.19</v>
      </c>
      <c r="G655" s="88">
        <v>25.85</v>
      </c>
      <c r="H655" s="51">
        <f t="shared" si="56"/>
        <v>4.9115000000000002</v>
      </c>
    </row>
    <row r="656" spans="2:8" x14ac:dyDescent="0.25">
      <c r="B656" s="53" t="s">
        <v>465</v>
      </c>
      <c r="C656" s="47" t="s">
        <v>466</v>
      </c>
      <c r="D656" s="69" t="s">
        <v>173</v>
      </c>
      <c r="E656" s="49" t="s">
        <v>159</v>
      </c>
      <c r="F656" s="51">
        <v>0.03</v>
      </c>
      <c r="G656" s="93">
        <v>11.32</v>
      </c>
      <c r="H656" s="51">
        <f t="shared" si="56"/>
        <v>0.33960000000000001</v>
      </c>
    </row>
    <row r="657" spans="2:8" x14ac:dyDescent="0.25">
      <c r="B657" s="52" t="s">
        <v>130</v>
      </c>
      <c r="C657" s="192" t="s">
        <v>131</v>
      </c>
      <c r="D657" s="192"/>
      <c r="E657" s="192"/>
      <c r="F657" s="192"/>
      <c r="G657" s="192"/>
      <c r="H657" s="192"/>
    </row>
    <row r="660" spans="2:8" ht="15.75" x14ac:dyDescent="0.25">
      <c r="B660" s="201" t="s">
        <v>467</v>
      </c>
      <c r="C660" s="191"/>
      <c r="D660" s="191"/>
      <c r="E660" s="191"/>
      <c r="F660" s="191"/>
      <c r="G660" s="191"/>
      <c r="H660" s="191"/>
    </row>
    <row r="661" spans="2:8" x14ac:dyDescent="0.25">
      <c r="B661" s="38" t="s">
        <v>121</v>
      </c>
      <c r="C661" s="39" t="s">
        <v>122</v>
      </c>
      <c r="D661" s="38" t="s">
        <v>123</v>
      </c>
      <c r="E661" s="38" t="s">
        <v>124</v>
      </c>
      <c r="F661" s="40" t="s">
        <v>125</v>
      </c>
      <c r="G661" s="40" t="s">
        <v>126</v>
      </c>
      <c r="H661" s="41" t="s">
        <v>127</v>
      </c>
    </row>
    <row r="662" spans="2:8" ht="30" x14ac:dyDescent="0.25">
      <c r="B662" s="42" t="s">
        <v>468</v>
      </c>
      <c r="C662" s="43" t="s">
        <v>469</v>
      </c>
      <c r="D662" s="44" t="s">
        <v>421</v>
      </c>
      <c r="E662" s="38" t="s">
        <v>128</v>
      </c>
      <c r="F662" s="40"/>
      <c r="G662" s="40"/>
      <c r="H662" s="45">
        <f>SUM(H665:H668)</f>
        <v>326.94782000000004</v>
      </c>
    </row>
    <row r="663" spans="2:8" x14ac:dyDescent="0.25">
      <c r="B663" s="53" t="s">
        <v>152</v>
      </c>
      <c r="C663" s="47" t="s">
        <v>422</v>
      </c>
      <c r="D663" s="69" t="s">
        <v>138</v>
      </c>
      <c r="E663" s="49" t="s">
        <v>272</v>
      </c>
      <c r="F663" s="51">
        <v>0.64</v>
      </c>
      <c r="G663" s="88">
        <v>8.24</v>
      </c>
      <c r="H663" s="51">
        <f t="shared" ref="H663:H668" si="57">F663*G663</f>
        <v>5.2736000000000001</v>
      </c>
    </row>
    <row r="664" spans="2:8" x14ac:dyDescent="0.25">
      <c r="B664" s="53" t="s">
        <v>136</v>
      </c>
      <c r="C664" s="47" t="s">
        <v>137</v>
      </c>
      <c r="D664" s="69" t="s">
        <v>138</v>
      </c>
      <c r="E664" s="49" t="s">
        <v>272</v>
      </c>
      <c r="F664" s="51">
        <v>0.28999999999999998</v>
      </c>
      <c r="G664" s="88">
        <v>4.8600000000000003</v>
      </c>
      <c r="H664" s="51">
        <f t="shared" si="57"/>
        <v>1.4094</v>
      </c>
    </row>
    <row r="665" spans="2:8" x14ac:dyDescent="0.25">
      <c r="B665" s="53"/>
      <c r="C665" s="43" t="s">
        <v>155</v>
      </c>
      <c r="D665" s="61" t="s">
        <v>156</v>
      </c>
      <c r="E665" s="38" t="s">
        <v>139</v>
      </c>
      <c r="F665" s="62">
        <v>1.1399999999999999</v>
      </c>
      <c r="G665" s="51"/>
      <c r="H665" s="63">
        <f>(SUM(H663:H664))*(1+F665)</f>
        <v>14.301619999999998</v>
      </c>
    </row>
    <row r="666" spans="2:8" x14ac:dyDescent="0.25">
      <c r="B666" s="79" t="s">
        <v>358</v>
      </c>
      <c r="C666" s="47" t="s">
        <v>158</v>
      </c>
      <c r="D666" s="69" t="s">
        <v>135</v>
      </c>
      <c r="E666" s="49" t="s">
        <v>159</v>
      </c>
      <c r="F666" s="71">
        <v>3.8999999999999998E-3</v>
      </c>
      <c r="G666" s="51">
        <v>73</v>
      </c>
      <c r="H666" s="51">
        <f t="shared" si="57"/>
        <v>0.28470000000000001</v>
      </c>
    </row>
    <row r="667" spans="2:8" x14ac:dyDescent="0.25">
      <c r="B667" s="79" t="s">
        <v>326</v>
      </c>
      <c r="C667" s="47" t="s">
        <v>426</v>
      </c>
      <c r="D667" s="69" t="s">
        <v>168</v>
      </c>
      <c r="E667" s="49" t="s">
        <v>159</v>
      </c>
      <c r="F667" s="51">
        <v>1.55</v>
      </c>
      <c r="G667" s="51">
        <v>0.53</v>
      </c>
      <c r="H667" s="51">
        <f t="shared" si="57"/>
        <v>0.82150000000000012</v>
      </c>
    </row>
    <row r="668" spans="2:8" ht="30" x14ac:dyDescent="0.25">
      <c r="B668" s="79" t="s">
        <v>470</v>
      </c>
      <c r="C668" s="47" t="s">
        <v>471</v>
      </c>
      <c r="D668" s="69" t="s">
        <v>421</v>
      </c>
      <c r="E668" s="49" t="s">
        <v>159</v>
      </c>
      <c r="F668" s="51">
        <v>1</v>
      </c>
      <c r="G668" s="82">
        <v>311.54000000000002</v>
      </c>
      <c r="H668" s="51">
        <f t="shared" si="57"/>
        <v>311.54000000000002</v>
      </c>
    </row>
    <row r="669" spans="2:8" x14ac:dyDescent="0.25">
      <c r="B669" s="52" t="s">
        <v>130</v>
      </c>
      <c r="C669" s="192" t="s">
        <v>131</v>
      </c>
      <c r="D669" s="192"/>
      <c r="E669" s="192"/>
      <c r="F669" s="192"/>
      <c r="G669" s="192"/>
      <c r="H669" s="192"/>
    </row>
    <row r="672" spans="2:8" ht="15.75" x14ac:dyDescent="0.25">
      <c r="B672" s="201" t="s">
        <v>472</v>
      </c>
      <c r="C672" s="191"/>
      <c r="D672" s="191"/>
      <c r="E672" s="191"/>
      <c r="F672" s="191"/>
      <c r="G672" s="191"/>
      <c r="H672" s="191"/>
    </row>
    <row r="673" spans="2:8" x14ac:dyDescent="0.25">
      <c r="B673" s="38" t="s">
        <v>121</v>
      </c>
      <c r="C673" s="39" t="s">
        <v>122</v>
      </c>
      <c r="D673" s="38" t="s">
        <v>123</v>
      </c>
      <c r="E673" s="38" t="s">
        <v>124</v>
      </c>
      <c r="F673" s="40" t="s">
        <v>125</v>
      </c>
      <c r="G673" s="40" t="s">
        <v>126</v>
      </c>
      <c r="H673" s="41" t="s">
        <v>127</v>
      </c>
    </row>
    <row r="674" spans="2:8" ht="30" x14ac:dyDescent="0.25">
      <c r="B674" s="42" t="s">
        <v>473</v>
      </c>
      <c r="C674" s="43" t="s">
        <v>474</v>
      </c>
      <c r="D674" s="44" t="s">
        <v>421</v>
      </c>
      <c r="E674" s="38" t="s">
        <v>128</v>
      </c>
      <c r="F674" s="40"/>
      <c r="G674" s="40"/>
      <c r="H674" s="45">
        <f>SUM(H677:H680)</f>
        <v>575.05513599999995</v>
      </c>
    </row>
    <row r="675" spans="2:8" x14ac:dyDescent="0.25">
      <c r="B675" s="53" t="s">
        <v>152</v>
      </c>
      <c r="C675" s="47" t="s">
        <v>422</v>
      </c>
      <c r="D675" s="69" t="s">
        <v>138</v>
      </c>
      <c r="E675" s="49" t="s">
        <v>272</v>
      </c>
      <c r="F675" s="51">
        <v>1.2</v>
      </c>
      <c r="G675" s="88">
        <v>8.24</v>
      </c>
      <c r="H675" s="51">
        <f t="shared" ref="H675:H680" si="58">F675*G675</f>
        <v>9.8879999999999999</v>
      </c>
    </row>
    <row r="676" spans="2:8" x14ac:dyDescent="0.25">
      <c r="B676" s="53" t="s">
        <v>136</v>
      </c>
      <c r="C676" s="47" t="s">
        <v>137</v>
      </c>
      <c r="D676" s="69" t="s">
        <v>138</v>
      </c>
      <c r="E676" s="49" t="s">
        <v>272</v>
      </c>
      <c r="F676" s="51">
        <v>0.54</v>
      </c>
      <c r="G676" s="88">
        <v>4.8600000000000003</v>
      </c>
      <c r="H676" s="51">
        <f t="shared" si="58"/>
        <v>2.6244000000000005</v>
      </c>
    </row>
    <row r="677" spans="2:8" x14ac:dyDescent="0.25">
      <c r="B677" s="53"/>
      <c r="C677" s="43" t="s">
        <v>155</v>
      </c>
      <c r="D677" s="61" t="s">
        <v>156</v>
      </c>
      <c r="E677" s="38" t="s">
        <v>139</v>
      </c>
      <c r="F677" s="62">
        <v>1.1399999999999999</v>
      </c>
      <c r="G677" s="51"/>
      <c r="H677" s="63">
        <f>(SUM(H675:H676))*(1+F677)</f>
        <v>26.776535999999997</v>
      </c>
    </row>
    <row r="678" spans="2:8" x14ac:dyDescent="0.25">
      <c r="B678" s="79" t="s">
        <v>358</v>
      </c>
      <c r="C678" s="47" t="s">
        <v>158</v>
      </c>
      <c r="D678" s="69" t="s">
        <v>135</v>
      </c>
      <c r="E678" s="49" t="s">
        <v>159</v>
      </c>
      <c r="F678" s="71">
        <v>4.7999999999999996E-3</v>
      </c>
      <c r="G678" s="51">
        <v>73</v>
      </c>
      <c r="H678" s="51">
        <f t="shared" si="58"/>
        <v>0.35039999999999999</v>
      </c>
    </row>
    <row r="679" spans="2:8" x14ac:dyDescent="0.25">
      <c r="B679" s="79" t="s">
        <v>326</v>
      </c>
      <c r="C679" s="47" t="s">
        <v>426</v>
      </c>
      <c r="D679" s="69" t="s">
        <v>168</v>
      </c>
      <c r="E679" s="49" t="s">
        <v>159</v>
      </c>
      <c r="F679" s="51">
        <v>1.94</v>
      </c>
      <c r="G679" s="51">
        <v>0.53</v>
      </c>
      <c r="H679" s="51">
        <f t="shared" si="58"/>
        <v>1.0282</v>
      </c>
    </row>
    <row r="680" spans="2:8" ht="30" x14ac:dyDescent="0.25">
      <c r="B680" s="79" t="s">
        <v>475</v>
      </c>
      <c r="C680" s="47" t="s">
        <v>476</v>
      </c>
      <c r="D680" s="69" t="s">
        <v>421</v>
      </c>
      <c r="E680" s="49" t="s">
        <v>159</v>
      </c>
      <c r="F680" s="51">
        <v>1</v>
      </c>
      <c r="G680" s="82">
        <v>546.9</v>
      </c>
      <c r="H680" s="51">
        <f t="shared" si="58"/>
        <v>546.9</v>
      </c>
    </row>
    <row r="681" spans="2:8" x14ac:dyDescent="0.25">
      <c r="B681" s="52" t="s">
        <v>130</v>
      </c>
      <c r="C681" s="192" t="s">
        <v>131</v>
      </c>
      <c r="D681" s="192"/>
      <c r="E681" s="192"/>
      <c r="F681" s="192"/>
      <c r="G681" s="192"/>
      <c r="H681" s="192"/>
    </row>
    <row r="684" spans="2:8" ht="15.75" x14ac:dyDescent="0.25">
      <c r="B684" s="201" t="s">
        <v>477</v>
      </c>
      <c r="C684" s="191"/>
      <c r="D684" s="191"/>
      <c r="E684" s="191"/>
      <c r="F684" s="191"/>
      <c r="G684" s="191"/>
      <c r="H684" s="191"/>
    </row>
    <row r="685" spans="2:8" x14ac:dyDescent="0.25">
      <c r="B685" s="38" t="s">
        <v>121</v>
      </c>
      <c r="C685" s="39" t="s">
        <v>122</v>
      </c>
      <c r="D685" s="38" t="s">
        <v>123</v>
      </c>
      <c r="E685" s="38" t="s">
        <v>124</v>
      </c>
      <c r="F685" s="40" t="s">
        <v>125</v>
      </c>
      <c r="G685" s="40" t="s">
        <v>126</v>
      </c>
      <c r="H685" s="41" t="s">
        <v>127</v>
      </c>
    </row>
    <row r="686" spans="2:8" ht="30" x14ac:dyDescent="0.25">
      <c r="B686" s="42" t="s">
        <v>478</v>
      </c>
      <c r="C686" s="43" t="s">
        <v>479</v>
      </c>
      <c r="D686" s="44" t="s">
        <v>421</v>
      </c>
      <c r="E686" s="38" t="s">
        <v>128</v>
      </c>
      <c r="F686" s="40"/>
      <c r="G686" s="40"/>
      <c r="H686" s="45">
        <f>SUM(H689:H692)</f>
        <v>343.40094399999998</v>
      </c>
    </row>
    <row r="687" spans="2:8" x14ac:dyDescent="0.25">
      <c r="B687" s="53" t="s">
        <v>152</v>
      </c>
      <c r="C687" s="47" t="s">
        <v>422</v>
      </c>
      <c r="D687" s="69" t="s">
        <v>138</v>
      </c>
      <c r="E687" s="49" t="s">
        <v>272</v>
      </c>
      <c r="F687" s="51">
        <v>1.44</v>
      </c>
      <c r="G687" s="88">
        <v>8.24</v>
      </c>
      <c r="H687" s="51">
        <f t="shared" ref="H687:H692" si="59">F687*G687</f>
        <v>11.865600000000001</v>
      </c>
    </row>
    <row r="688" spans="2:8" x14ac:dyDescent="0.25">
      <c r="B688" s="53" t="s">
        <v>136</v>
      </c>
      <c r="C688" s="47" t="s">
        <v>137</v>
      </c>
      <c r="D688" s="69" t="s">
        <v>138</v>
      </c>
      <c r="E688" s="49" t="s">
        <v>272</v>
      </c>
      <c r="F688" s="51">
        <v>0.65</v>
      </c>
      <c r="G688" s="88">
        <v>4.8600000000000003</v>
      </c>
      <c r="H688" s="51">
        <f t="shared" si="59"/>
        <v>3.1590000000000003</v>
      </c>
    </row>
    <row r="689" spans="2:8" x14ac:dyDescent="0.25">
      <c r="B689" s="53"/>
      <c r="C689" s="43" t="s">
        <v>155</v>
      </c>
      <c r="D689" s="61" t="s">
        <v>156</v>
      </c>
      <c r="E689" s="38" t="s">
        <v>139</v>
      </c>
      <c r="F689" s="62">
        <v>1.1399999999999999</v>
      </c>
      <c r="G689" s="51"/>
      <c r="H689" s="63">
        <f>(SUM(H687:H688))*(1+F689)</f>
        <v>32.152643999999995</v>
      </c>
    </row>
    <row r="690" spans="2:8" x14ac:dyDescent="0.25">
      <c r="B690" s="79" t="s">
        <v>358</v>
      </c>
      <c r="C690" s="47" t="s">
        <v>158</v>
      </c>
      <c r="D690" s="69" t="s">
        <v>135</v>
      </c>
      <c r="E690" s="49" t="s">
        <v>159</v>
      </c>
      <c r="F690" s="71">
        <v>5.7999999999999996E-3</v>
      </c>
      <c r="G690" s="51">
        <v>73</v>
      </c>
      <c r="H690" s="51">
        <f t="shared" si="59"/>
        <v>0.4234</v>
      </c>
    </row>
    <row r="691" spans="2:8" x14ac:dyDescent="0.25">
      <c r="B691" s="79" t="s">
        <v>326</v>
      </c>
      <c r="C691" s="47" t="s">
        <v>426</v>
      </c>
      <c r="D691" s="69" t="s">
        <v>168</v>
      </c>
      <c r="E691" s="49" t="s">
        <v>159</v>
      </c>
      <c r="F691" s="51">
        <v>2.33</v>
      </c>
      <c r="G691" s="51">
        <v>0.53</v>
      </c>
      <c r="H691" s="51">
        <f t="shared" si="59"/>
        <v>1.2349000000000001</v>
      </c>
    </row>
    <row r="692" spans="2:8" ht="30" x14ac:dyDescent="0.25">
      <c r="B692" s="79" t="s">
        <v>480</v>
      </c>
      <c r="C692" s="47" t="s">
        <v>481</v>
      </c>
      <c r="D692" s="69" t="s">
        <v>421</v>
      </c>
      <c r="E692" s="49" t="s">
        <v>159</v>
      </c>
      <c r="F692" s="51">
        <v>1</v>
      </c>
      <c r="G692" s="82">
        <v>309.58999999999997</v>
      </c>
      <c r="H692" s="51">
        <f t="shared" si="59"/>
        <v>309.58999999999997</v>
      </c>
    </row>
    <row r="693" spans="2:8" x14ac:dyDescent="0.25">
      <c r="B693" s="52" t="s">
        <v>130</v>
      </c>
      <c r="C693" s="192" t="s">
        <v>131</v>
      </c>
      <c r="D693" s="192"/>
      <c r="E693" s="192"/>
      <c r="F693" s="192"/>
      <c r="G693" s="192"/>
      <c r="H693" s="192"/>
    </row>
    <row r="695" spans="2:8" ht="15.75" x14ac:dyDescent="0.25">
      <c r="B695" s="201" t="s">
        <v>482</v>
      </c>
      <c r="C695" s="191"/>
      <c r="D695" s="191"/>
      <c r="E695" s="191"/>
      <c r="F695" s="191"/>
      <c r="G695" s="191"/>
      <c r="H695" s="191"/>
    </row>
    <row r="696" spans="2:8" x14ac:dyDescent="0.25">
      <c r="B696" s="38" t="s">
        <v>121</v>
      </c>
      <c r="C696" s="39" t="s">
        <v>122</v>
      </c>
      <c r="D696" s="38" t="s">
        <v>123</v>
      </c>
      <c r="E696" s="38" t="s">
        <v>124</v>
      </c>
      <c r="F696" s="40" t="s">
        <v>125</v>
      </c>
      <c r="G696" s="40" t="s">
        <v>126</v>
      </c>
      <c r="H696" s="41" t="s">
        <v>127</v>
      </c>
    </row>
    <row r="697" spans="2:8" x14ac:dyDescent="0.25">
      <c r="B697" s="42" t="s">
        <v>483</v>
      </c>
      <c r="C697" s="43" t="s">
        <v>484</v>
      </c>
      <c r="D697" s="44" t="s">
        <v>117</v>
      </c>
      <c r="E697" s="38" t="s">
        <v>128</v>
      </c>
      <c r="F697" s="40"/>
      <c r="G697" s="40"/>
      <c r="H697" s="45">
        <f>SUM(H700:H703)</f>
        <v>468.14670000000001</v>
      </c>
    </row>
    <row r="698" spans="2:8" x14ac:dyDescent="0.25">
      <c r="B698" s="53" t="s">
        <v>152</v>
      </c>
      <c r="C698" s="47" t="s">
        <v>422</v>
      </c>
      <c r="D698" s="69" t="s">
        <v>138</v>
      </c>
      <c r="E698" s="49" t="s">
        <v>272</v>
      </c>
      <c r="F698" s="51">
        <v>1.5</v>
      </c>
      <c r="G698" s="88">
        <v>8.24</v>
      </c>
      <c r="H698" s="51">
        <f t="shared" ref="H698:H703" si="60">F698*G698</f>
        <v>12.36</v>
      </c>
    </row>
    <row r="699" spans="2:8" x14ac:dyDescent="0.25">
      <c r="B699" s="53" t="s">
        <v>136</v>
      </c>
      <c r="C699" s="47" t="s">
        <v>137</v>
      </c>
      <c r="D699" s="69" t="s">
        <v>138</v>
      </c>
      <c r="E699" s="49" t="s">
        <v>272</v>
      </c>
      <c r="F699" s="51">
        <v>1</v>
      </c>
      <c r="G699" s="88">
        <v>4.8600000000000003</v>
      </c>
      <c r="H699" s="51">
        <f t="shared" si="60"/>
        <v>4.8600000000000003</v>
      </c>
    </row>
    <row r="700" spans="2:8" x14ac:dyDescent="0.25">
      <c r="B700" s="53"/>
      <c r="C700" s="43" t="s">
        <v>155</v>
      </c>
      <c r="D700" s="61" t="s">
        <v>156</v>
      </c>
      <c r="E700" s="38" t="s">
        <v>139</v>
      </c>
      <c r="F700" s="62">
        <v>1.1399999999999999</v>
      </c>
      <c r="G700" s="51"/>
      <c r="H700" s="63">
        <f>(SUM(H698:H699))*(1+F700)</f>
        <v>36.850799999999992</v>
      </c>
    </row>
    <row r="701" spans="2:8" x14ac:dyDescent="0.25">
      <c r="B701" s="79" t="s">
        <v>358</v>
      </c>
      <c r="C701" s="47" t="s">
        <v>158</v>
      </c>
      <c r="D701" s="69" t="s">
        <v>135</v>
      </c>
      <c r="E701" s="49" t="s">
        <v>159</v>
      </c>
      <c r="F701" s="71">
        <v>4.8999999999999998E-3</v>
      </c>
      <c r="G701" s="51">
        <v>73</v>
      </c>
      <c r="H701" s="51">
        <f t="shared" si="60"/>
        <v>0.35769999999999996</v>
      </c>
    </row>
    <row r="702" spans="2:8" x14ac:dyDescent="0.25">
      <c r="B702" s="79" t="s">
        <v>326</v>
      </c>
      <c r="C702" s="47" t="s">
        <v>426</v>
      </c>
      <c r="D702" s="69" t="s">
        <v>168</v>
      </c>
      <c r="E702" s="49" t="s">
        <v>159</v>
      </c>
      <c r="F702" s="51">
        <v>1.94</v>
      </c>
      <c r="G702" s="51">
        <v>0.53</v>
      </c>
      <c r="H702" s="51">
        <f t="shared" si="60"/>
        <v>1.0282</v>
      </c>
    </row>
    <row r="703" spans="2:8" x14ac:dyDescent="0.25">
      <c r="B703" s="79" t="s">
        <v>485</v>
      </c>
      <c r="C703" s="47" t="s">
        <v>486</v>
      </c>
      <c r="D703" s="69" t="s">
        <v>421</v>
      </c>
      <c r="E703" s="49" t="s">
        <v>159</v>
      </c>
      <c r="F703" s="51">
        <v>1</v>
      </c>
      <c r="G703" s="82">
        <v>429.91</v>
      </c>
      <c r="H703" s="51">
        <f t="shared" si="60"/>
        <v>429.91</v>
      </c>
    </row>
    <row r="704" spans="2:8" x14ac:dyDescent="0.25">
      <c r="B704" s="52" t="s">
        <v>130</v>
      </c>
      <c r="C704" s="192" t="s">
        <v>131</v>
      </c>
      <c r="D704" s="192"/>
      <c r="E704" s="192"/>
      <c r="F704" s="192"/>
      <c r="G704" s="192"/>
      <c r="H704" s="192"/>
    </row>
    <row r="707" spans="2:8" ht="15.75" x14ac:dyDescent="0.25">
      <c r="B707" s="201" t="s">
        <v>487</v>
      </c>
      <c r="C707" s="191"/>
      <c r="D707" s="191"/>
      <c r="E707" s="191"/>
      <c r="F707" s="191"/>
      <c r="G707" s="191"/>
      <c r="H707" s="191"/>
    </row>
    <row r="708" spans="2:8" x14ac:dyDescent="0.25">
      <c r="B708" s="38" t="s">
        <v>121</v>
      </c>
      <c r="C708" s="39" t="s">
        <v>122</v>
      </c>
      <c r="D708" s="38" t="s">
        <v>123</v>
      </c>
      <c r="E708" s="38" t="s">
        <v>124</v>
      </c>
      <c r="F708" s="40" t="s">
        <v>125</v>
      </c>
      <c r="G708" s="40" t="s">
        <v>126</v>
      </c>
      <c r="H708" s="41" t="s">
        <v>127</v>
      </c>
    </row>
    <row r="709" spans="2:8" x14ac:dyDescent="0.25">
      <c r="B709" s="42" t="s">
        <v>483</v>
      </c>
      <c r="C709" s="43" t="s">
        <v>484</v>
      </c>
      <c r="D709" s="44" t="s">
        <v>117</v>
      </c>
      <c r="E709" s="38" t="s">
        <v>128</v>
      </c>
      <c r="F709" s="40"/>
      <c r="G709" s="40"/>
      <c r="H709" s="45">
        <f>SUM(H712:H715)</f>
        <v>83.226699999999994</v>
      </c>
    </row>
    <row r="710" spans="2:8" x14ac:dyDescent="0.25">
      <c r="B710" s="53" t="s">
        <v>152</v>
      </c>
      <c r="C710" s="47" t="s">
        <v>422</v>
      </c>
      <c r="D710" s="69" t="s">
        <v>138</v>
      </c>
      <c r="E710" s="49" t="s">
        <v>272</v>
      </c>
      <c r="F710" s="51">
        <v>1.5</v>
      </c>
      <c r="G710" s="88">
        <v>8.24</v>
      </c>
      <c r="H710" s="51">
        <f t="shared" ref="H710:H715" si="61">F710*G710</f>
        <v>12.36</v>
      </c>
    </row>
    <row r="711" spans="2:8" x14ac:dyDescent="0.25">
      <c r="B711" s="53" t="s">
        <v>136</v>
      </c>
      <c r="C711" s="47" t="s">
        <v>137</v>
      </c>
      <c r="D711" s="69" t="s">
        <v>138</v>
      </c>
      <c r="E711" s="49" t="s">
        <v>272</v>
      </c>
      <c r="F711" s="51">
        <v>1</v>
      </c>
      <c r="G711" s="88">
        <v>4.8600000000000003</v>
      </c>
      <c r="H711" s="51">
        <f t="shared" si="61"/>
        <v>4.8600000000000003</v>
      </c>
    </row>
    <row r="712" spans="2:8" x14ac:dyDescent="0.25">
      <c r="B712" s="53"/>
      <c r="C712" s="43" t="s">
        <v>155</v>
      </c>
      <c r="D712" s="61" t="s">
        <v>156</v>
      </c>
      <c r="E712" s="38" t="s">
        <v>139</v>
      </c>
      <c r="F712" s="62">
        <v>1.1399999999999999</v>
      </c>
      <c r="G712" s="51"/>
      <c r="H712" s="63">
        <f>(SUM(H710:H711))*(1+F712)</f>
        <v>36.850799999999992</v>
      </c>
    </row>
    <row r="713" spans="2:8" x14ac:dyDescent="0.25">
      <c r="B713" s="79" t="s">
        <v>358</v>
      </c>
      <c r="C713" s="47" t="s">
        <v>158</v>
      </c>
      <c r="D713" s="69" t="s">
        <v>135</v>
      </c>
      <c r="E713" s="49" t="s">
        <v>159</v>
      </c>
      <c r="F713" s="71">
        <v>4.8999999999999998E-3</v>
      </c>
      <c r="G713" s="51">
        <v>73</v>
      </c>
      <c r="H713" s="51">
        <f t="shared" si="61"/>
        <v>0.35769999999999996</v>
      </c>
    </row>
    <row r="714" spans="2:8" x14ac:dyDescent="0.25">
      <c r="B714" s="79" t="s">
        <v>326</v>
      </c>
      <c r="C714" s="47" t="s">
        <v>426</v>
      </c>
      <c r="D714" s="69" t="s">
        <v>168</v>
      </c>
      <c r="E714" s="49" t="s">
        <v>159</v>
      </c>
      <c r="F714" s="51">
        <v>1.94</v>
      </c>
      <c r="G714" s="51">
        <v>0.53</v>
      </c>
      <c r="H714" s="51">
        <f t="shared" si="61"/>
        <v>1.0282</v>
      </c>
    </row>
    <row r="715" spans="2:8" x14ac:dyDescent="0.25">
      <c r="B715" s="79" t="s">
        <v>485</v>
      </c>
      <c r="C715" s="47" t="s">
        <v>486</v>
      </c>
      <c r="D715" s="69" t="s">
        <v>421</v>
      </c>
      <c r="E715" s="49" t="s">
        <v>159</v>
      </c>
      <c r="F715" s="51">
        <v>1</v>
      </c>
      <c r="G715" s="82">
        <v>44.99</v>
      </c>
      <c r="H715" s="51">
        <f t="shared" si="61"/>
        <v>44.99</v>
      </c>
    </row>
    <row r="716" spans="2:8" x14ac:dyDescent="0.25">
      <c r="B716" s="52" t="s">
        <v>130</v>
      </c>
      <c r="C716" s="192" t="s">
        <v>131</v>
      </c>
      <c r="D716" s="192"/>
      <c r="E716" s="192"/>
      <c r="F716" s="192"/>
      <c r="G716" s="192"/>
      <c r="H716" s="192"/>
    </row>
    <row r="719" spans="2:8" ht="15.75" x14ac:dyDescent="0.25">
      <c r="B719" s="201" t="s">
        <v>488</v>
      </c>
      <c r="C719" s="191"/>
      <c r="D719" s="191"/>
      <c r="E719" s="191"/>
      <c r="F719" s="191"/>
      <c r="G719" s="191"/>
      <c r="H719" s="191"/>
    </row>
    <row r="720" spans="2:8" x14ac:dyDescent="0.25">
      <c r="B720" s="38" t="s">
        <v>121</v>
      </c>
      <c r="C720" s="39" t="s">
        <v>122</v>
      </c>
      <c r="D720" s="38" t="s">
        <v>123</v>
      </c>
      <c r="E720" s="38" t="s">
        <v>124</v>
      </c>
      <c r="F720" s="40" t="s">
        <v>125</v>
      </c>
      <c r="G720" s="40" t="s">
        <v>126</v>
      </c>
      <c r="H720" s="41" t="s">
        <v>127</v>
      </c>
    </row>
    <row r="721" spans="2:8" ht="30" x14ac:dyDescent="0.25">
      <c r="B721" s="42" t="s">
        <v>740</v>
      </c>
      <c r="C721" s="43" t="s">
        <v>741</v>
      </c>
      <c r="D721" s="44" t="s">
        <v>117</v>
      </c>
      <c r="E721" s="38" t="s">
        <v>128</v>
      </c>
      <c r="F721" s="40"/>
      <c r="G721" s="40"/>
      <c r="H721" s="45">
        <f>SUM(H724:H728)</f>
        <v>390.59599476</v>
      </c>
    </row>
    <row r="722" spans="2:8" x14ac:dyDescent="0.25">
      <c r="B722" s="53" t="s">
        <v>666</v>
      </c>
      <c r="C722" s="47" t="s">
        <v>153</v>
      </c>
      <c r="D722" s="69" t="s">
        <v>138</v>
      </c>
      <c r="E722" s="49" t="s">
        <v>272</v>
      </c>
      <c r="F722" s="71">
        <v>0.3826</v>
      </c>
      <c r="G722" s="88">
        <v>8.24</v>
      </c>
      <c r="H722" s="51">
        <f t="shared" ref="H722:H728" si="62">F722*G722</f>
        <v>3.1526239999999999</v>
      </c>
    </row>
    <row r="723" spans="2:8" x14ac:dyDescent="0.25">
      <c r="B723" s="53" t="s">
        <v>656</v>
      </c>
      <c r="C723" s="47" t="s">
        <v>226</v>
      </c>
      <c r="D723" s="69" t="s">
        <v>138</v>
      </c>
      <c r="E723" s="49" t="s">
        <v>272</v>
      </c>
      <c r="F723" s="71">
        <v>0.191</v>
      </c>
      <c r="G723" s="88">
        <v>4.8600000000000003</v>
      </c>
      <c r="H723" s="51">
        <f t="shared" si="62"/>
        <v>0.92826000000000009</v>
      </c>
    </row>
    <row r="724" spans="2:8" x14ac:dyDescent="0.25">
      <c r="B724" s="53"/>
      <c r="C724" s="43" t="s">
        <v>155</v>
      </c>
      <c r="D724" s="61" t="s">
        <v>156</v>
      </c>
      <c r="E724" s="38" t="s">
        <v>139</v>
      </c>
      <c r="F724" s="62">
        <v>1.1399999999999999</v>
      </c>
      <c r="G724" s="51"/>
      <c r="H724" s="63">
        <f>(SUM(H722:H723))*(1+F724)</f>
        <v>8.7330917599999989</v>
      </c>
    </row>
    <row r="725" spans="2:8" ht="30" x14ac:dyDescent="0.25">
      <c r="B725" s="53" t="s">
        <v>742</v>
      </c>
      <c r="C725" s="47" t="s">
        <v>743</v>
      </c>
      <c r="D725" s="69" t="s">
        <v>123</v>
      </c>
      <c r="E725" s="49" t="s">
        <v>159</v>
      </c>
      <c r="F725" s="71">
        <v>0.54730000000000001</v>
      </c>
      <c r="G725" s="88">
        <v>590.26</v>
      </c>
      <c r="H725" s="51">
        <f t="shared" si="62"/>
        <v>323.04929800000002</v>
      </c>
    </row>
    <row r="726" spans="2:8" ht="30" x14ac:dyDescent="0.25">
      <c r="B726" s="79" t="s">
        <v>744</v>
      </c>
      <c r="C726" s="47" t="s">
        <v>745</v>
      </c>
      <c r="D726" s="69" t="s">
        <v>123</v>
      </c>
      <c r="E726" s="49" t="s">
        <v>159</v>
      </c>
      <c r="F726" s="71">
        <v>4.8166000000000002</v>
      </c>
      <c r="G726" s="88">
        <v>0.36</v>
      </c>
      <c r="H726" s="51">
        <f t="shared" si="62"/>
        <v>1.733976</v>
      </c>
    </row>
    <row r="727" spans="2:8" x14ac:dyDescent="0.25">
      <c r="B727" s="79" t="s">
        <v>746</v>
      </c>
      <c r="C727" s="47" t="s">
        <v>747</v>
      </c>
      <c r="D727" s="69" t="s">
        <v>489</v>
      </c>
      <c r="E727" s="49" t="s">
        <v>159</v>
      </c>
      <c r="F727" s="71">
        <v>0.88290000000000002</v>
      </c>
      <c r="G727" s="88">
        <v>23.45</v>
      </c>
      <c r="H727" s="51">
        <f t="shared" si="62"/>
        <v>20.704004999999999</v>
      </c>
    </row>
    <row r="728" spans="2:8" x14ac:dyDescent="0.25">
      <c r="B728" s="79" t="s">
        <v>748</v>
      </c>
      <c r="C728" s="47" t="s">
        <v>749</v>
      </c>
      <c r="D728" s="69" t="s">
        <v>143</v>
      </c>
      <c r="E728" s="49" t="s">
        <v>159</v>
      </c>
      <c r="F728" s="71">
        <v>6.8503999999999996</v>
      </c>
      <c r="G728" s="88">
        <v>5.31</v>
      </c>
      <c r="H728" s="51">
        <f t="shared" si="62"/>
        <v>36.375623999999995</v>
      </c>
    </row>
    <row r="729" spans="2:8" x14ac:dyDescent="0.25">
      <c r="B729" s="52" t="s">
        <v>130</v>
      </c>
      <c r="C729" s="192" t="s">
        <v>232</v>
      </c>
      <c r="D729" s="192"/>
      <c r="E729" s="192"/>
      <c r="F729" s="192"/>
      <c r="G729" s="192"/>
      <c r="H729" s="192"/>
    </row>
    <row r="732" spans="2:8" ht="15.75" x14ac:dyDescent="0.25">
      <c r="B732" s="201" t="s">
        <v>490</v>
      </c>
      <c r="C732" s="191"/>
      <c r="D732" s="191"/>
      <c r="E732" s="191"/>
      <c r="F732" s="191"/>
      <c r="G732" s="191"/>
      <c r="H732" s="191"/>
    </row>
    <row r="733" spans="2:8" x14ac:dyDescent="0.25">
      <c r="B733" s="38" t="s">
        <v>121</v>
      </c>
      <c r="C733" s="39" t="s">
        <v>122</v>
      </c>
      <c r="D733" s="38" t="s">
        <v>123</v>
      </c>
      <c r="E733" s="38" t="s">
        <v>124</v>
      </c>
      <c r="F733" s="40" t="s">
        <v>125</v>
      </c>
      <c r="G733" s="40" t="s">
        <v>126</v>
      </c>
      <c r="H733" s="41" t="s">
        <v>127</v>
      </c>
    </row>
    <row r="734" spans="2:8" x14ac:dyDescent="0.25">
      <c r="B734" s="42" t="s">
        <v>491</v>
      </c>
      <c r="C734" s="43" t="s">
        <v>492</v>
      </c>
      <c r="D734" s="44" t="s">
        <v>117</v>
      </c>
      <c r="E734" s="38" t="s">
        <v>128</v>
      </c>
      <c r="F734" s="40"/>
      <c r="G734" s="40"/>
      <c r="H734" s="45">
        <f>SUM(H737:H740)</f>
        <v>352.28319999999997</v>
      </c>
    </row>
    <row r="735" spans="2:8" x14ac:dyDescent="0.25">
      <c r="B735" s="53" t="s">
        <v>152</v>
      </c>
      <c r="C735" s="47" t="s">
        <v>422</v>
      </c>
      <c r="D735" s="69" t="s">
        <v>138</v>
      </c>
      <c r="E735" s="49" t="s">
        <v>272</v>
      </c>
      <c r="F735" s="51">
        <v>1.5</v>
      </c>
      <c r="G735" s="88">
        <v>8.24</v>
      </c>
      <c r="H735" s="51">
        <f t="shared" ref="H735:H740" si="63">F735*G735</f>
        <v>12.36</v>
      </c>
    </row>
    <row r="736" spans="2:8" x14ac:dyDescent="0.25">
      <c r="B736" s="53" t="s">
        <v>154</v>
      </c>
      <c r="C736" s="47" t="s">
        <v>226</v>
      </c>
      <c r="D736" s="69" t="s">
        <v>138</v>
      </c>
      <c r="E736" s="49" t="s">
        <v>272</v>
      </c>
      <c r="F736" s="51">
        <v>2.5</v>
      </c>
      <c r="G736" s="88">
        <v>4.8600000000000003</v>
      </c>
      <c r="H736" s="51">
        <f t="shared" si="63"/>
        <v>12.15</v>
      </c>
    </row>
    <row r="737" spans="2:8" x14ac:dyDescent="0.25">
      <c r="B737" s="53"/>
      <c r="C737" s="43" t="s">
        <v>155</v>
      </c>
      <c r="D737" s="61" t="s">
        <v>156</v>
      </c>
      <c r="E737" s="38" t="s">
        <v>139</v>
      </c>
      <c r="F737" s="62">
        <v>1.1399999999999999</v>
      </c>
      <c r="G737" s="51"/>
      <c r="H737" s="63">
        <f>(SUM(H735:H736))*(1+F737)</f>
        <v>52.451399999999985</v>
      </c>
    </row>
    <row r="738" spans="2:8" x14ac:dyDescent="0.25">
      <c r="B738" s="79" t="s">
        <v>325</v>
      </c>
      <c r="C738" s="47" t="s">
        <v>424</v>
      </c>
      <c r="D738" s="69" t="s">
        <v>135</v>
      </c>
      <c r="E738" s="49" t="s">
        <v>159</v>
      </c>
      <c r="F738" s="71">
        <v>2.8999999999999998E-3</v>
      </c>
      <c r="G738" s="51">
        <v>73</v>
      </c>
      <c r="H738" s="51">
        <f t="shared" si="63"/>
        <v>0.2117</v>
      </c>
    </row>
    <row r="739" spans="2:8" x14ac:dyDescent="0.25">
      <c r="B739" s="79" t="s">
        <v>360</v>
      </c>
      <c r="C739" s="47" t="s">
        <v>327</v>
      </c>
      <c r="D739" s="69" t="s">
        <v>168</v>
      </c>
      <c r="E739" s="49" t="s">
        <v>159</v>
      </c>
      <c r="F739" s="51">
        <v>1.17</v>
      </c>
      <c r="G739" s="88">
        <v>0.53</v>
      </c>
      <c r="H739" s="51">
        <f t="shared" si="63"/>
        <v>0.62009999999999998</v>
      </c>
    </row>
    <row r="740" spans="2:8" x14ac:dyDescent="0.25">
      <c r="B740" s="79" t="s">
        <v>493</v>
      </c>
      <c r="C740" s="47" t="s">
        <v>494</v>
      </c>
      <c r="D740" s="69" t="s">
        <v>117</v>
      </c>
      <c r="E740" s="49" t="s">
        <v>159</v>
      </c>
      <c r="F740" s="51">
        <v>1</v>
      </c>
      <c r="G740" s="51">
        <v>299</v>
      </c>
      <c r="H740" s="51">
        <f t="shared" si="63"/>
        <v>299</v>
      </c>
    </row>
    <row r="741" spans="2:8" x14ac:dyDescent="0.25">
      <c r="B741" s="52" t="s">
        <v>130</v>
      </c>
      <c r="C741" s="192" t="s">
        <v>131</v>
      </c>
      <c r="D741" s="192"/>
      <c r="E741" s="192"/>
      <c r="F741" s="192"/>
      <c r="G741" s="192"/>
      <c r="H741" s="192"/>
    </row>
    <row r="744" spans="2:8" ht="15.75" x14ac:dyDescent="0.25">
      <c r="B744" s="204" t="s">
        <v>495</v>
      </c>
      <c r="C744" s="200"/>
      <c r="D744" s="200"/>
      <c r="E744" s="200"/>
      <c r="F744" s="200"/>
      <c r="G744" s="200"/>
      <c r="H744" s="200"/>
    </row>
    <row r="745" spans="2:8" x14ac:dyDescent="0.25">
      <c r="B745" s="38" t="s">
        <v>121</v>
      </c>
      <c r="C745" s="39" t="s">
        <v>122</v>
      </c>
      <c r="D745" s="38" t="s">
        <v>123</v>
      </c>
      <c r="E745" s="38" t="s">
        <v>124</v>
      </c>
      <c r="F745" s="40" t="s">
        <v>125</v>
      </c>
      <c r="G745" s="40" t="s">
        <v>126</v>
      </c>
      <c r="H745" s="41" t="s">
        <v>127</v>
      </c>
    </row>
    <row r="746" spans="2:8" x14ac:dyDescent="0.25">
      <c r="B746" s="42" t="s">
        <v>496</v>
      </c>
      <c r="C746" s="43" t="s">
        <v>497</v>
      </c>
      <c r="D746" s="44" t="s">
        <v>143</v>
      </c>
      <c r="E746" s="38" t="s">
        <v>128</v>
      </c>
      <c r="F746" s="40"/>
      <c r="G746" s="40"/>
      <c r="H746" s="45">
        <f>SUM(H749:H750)</f>
        <v>85.940687999999994</v>
      </c>
    </row>
    <row r="747" spans="2:8" x14ac:dyDescent="0.25">
      <c r="B747" s="53" t="s">
        <v>498</v>
      </c>
      <c r="C747" s="47" t="s">
        <v>499</v>
      </c>
      <c r="D747" s="69" t="s">
        <v>138</v>
      </c>
      <c r="E747" s="49" t="s">
        <v>272</v>
      </c>
      <c r="F747" s="51">
        <v>1.24</v>
      </c>
      <c r="G747" s="88">
        <v>5.13</v>
      </c>
      <c r="H747" s="51">
        <f t="shared" ref="H747:H750" si="64">F747*G747</f>
        <v>6.3612000000000002</v>
      </c>
    </row>
    <row r="748" spans="2:8" x14ac:dyDescent="0.25">
      <c r="B748" s="53" t="s">
        <v>500</v>
      </c>
      <c r="C748" s="47" t="s">
        <v>501</v>
      </c>
      <c r="D748" s="69" t="s">
        <v>138</v>
      </c>
      <c r="E748" s="49" t="s">
        <v>272</v>
      </c>
      <c r="F748" s="70">
        <v>0.82499999999999996</v>
      </c>
      <c r="G748" s="88">
        <v>8.24</v>
      </c>
      <c r="H748" s="51">
        <f t="shared" si="64"/>
        <v>6.798</v>
      </c>
    </row>
    <row r="749" spans="2:8" x14ac:dyDescent="0.25">
      <c r="B749" s="53"/>
      <c r="C749" s="43" t="s">
        <v>155</v>
      </c>
      <c r="D749" s="61" t="s">
        <v>156</v>
      </c>
      <c r="E749" s="38" t="s">
        <v>139</v>
      </c>
      <c r="F749" s="62">
        <v>1.1399999999999999</v>
      </c>
      <c r="G749" s="51"/>
      <c r="H749" s="63">
        <f>(SUM(H747:H748))*(1+F749)</f>
        <v>28.160687999999997</v>
      </c>
    </row>
    <row r="750" spans="2:8" x14ac:dyDescent="0.25">
      <c r="B750" s="79" t="s">
        <v>502</v>
      </c>
      <c r="C750" s="47" t="s">
        <v>503</v>
      </c>
      <c r="D750" s="69" t="s">
        <v>143</v>
      </c>
      <c r="E750" s="49" t="s">
        <v>159</v>
      </c>
      <c r="F750" s="51">
        <v>1</v>
      </c>
      <c r="G750" s="88">
        <v>57.78</v>
      </c>
      <c r="H750" s="51">
        <f t="shared" si="64"/>
        <v>57.78</v>
      </c>
    </row>
    <row r="751" spans="2:8" x14ac:dyDescent="0.25">
      <c r="B751" s="52" t="s">
        <v>130</v>
      </c>
      <c r="C751" s="192" t="s">
        <v>131</v>
      </c>
      <c r="D751" s="192"/>
      <c r="E751" s="192"/>
      <c r="F751" s="192"/>
      <c r="G751" s="192"/>
      <c r="H751" s="192"/>
    </row>
    <row r="754" spans="2:8" ht="15.75" x14ac:dyDescent="0.25">
      <c r="B754" s="201" t="s">
        <v>504</v>
      </c>
      <c r="C754" s="191"/>
      <c r="D754" s="191"/>
      <c r="E754" s="191"/>
      <c r="F754" s="191"/>
      <c r="G754" s="191"/>
      <c r="H754" s="191"/>
    </row>
    <row r="755" spans="2:8" x14ac:dyDescent="0.25">
      <c r="B755" s="38" t="s">
        <v>121</v>
      </c>
      <c r="C755" s="39" t="s">
        <v>122</v>
      </c>
      <c r="D755" s="38" t="s">
        <v>123</v>
      </c>
      <c r="E755" s="38" t="s">
        <v>124</v>
      </c>
      <c r="F755" s="40" t="s">
        <v>125</v>
      </c>
      <c r="G755" s="40" t="s">
        <v>126</v>
      </c>
      <c r="H755" s="41" t="s">
        <v>127</v>
      </c>
    </row>
    <row r="756" spans="2:8" x14ac:dyDescent="0.25">
      <c r="B756" s="42" t="s">
        <v>750</v>
      </c>
      <c r="C756" s="43" t="s">
        <v>751</v>
      </c>
      <c r="D756" s="44" t="s">
        <v>117</v>
      </c>
      <c r="E756" s="38" t="s">
        <v>128</v>
      </c>
      <c r="F756" s="40"/>
      <c r="G756" s="40"/>
      <c r="H756" s="45">
        <f>SUM(H759:H761)</f>
        <v>225.53368</v>
      </c>
    </row>
    <row r="757" spans="2:8" x14ac:dyDescent="0.25">
      <c r="B757" s="53" t="s">
        <v>656</v>
      </c>
      <c r="C757" s="47" t="s">
        <v>226</v>
      </c>
      <c r="D757" s="69" t="s">
        <v>138</v>
      </c>
      <c r="E757" s="49" t="s">
        <v>272</v>
      </c>
      <c r="F757" s="51">
        <v>0.2</v>
      </c>
      <c r="G757" s="88">
        <v>4.8600000000000003</v>
      </c>
      <c r="H757" s="51">
        <f t="shared" ref="H757:H761" si="65">F757*G757</f>
        <v>0.97200000000000009</v>
      </c>
    </row>
    <row r="758" spans="2:8" x14ac:dyDescent="0.25">
      <c r="B758" s="53" t="s">
        <v>752</v>
      </c>
      <c r="C758" s="47" t="s">
        <v>979</v>
      </c>
      <c r="D758" s="69" t="s">
        <v>138</v>
      </c>
      <c r="E758" s="49" t="s">
        <v>272</v>
      </c>
      <c r="F758" s="70">
        <v>1</v>
      </c>
      <c r="G758" s="88">
        <v>8.24</v>
      </c>
      <c r="H758" s="51">
        <f t="shared" si="65"/>
        <v>8.24</v>
      </c>
    </row>
    <row r="759" spans="2:8" x14ac:dyDescent="0.25">
      <c r="B759" s="53"/>
      <c r="C759" s="43" t="s">
        <v>155</v>
      </c>
      <c r="D759" s="61" t="s">
        <v>156</v>
      </c>
      <c r="E759" s="38" t="s">
        <v>139</v>
      </c>
      <c r="F759" s="62">
        <v>1.1399999999999999</v>
      </c>
      <c r="G759" s="51"/>
      <c r="H759" s="63">
        <f>(SUM(H757:H758))*(1+F759)</f>
        <v>19.713679999999997</v>
      </c>
    </row>
    <row r="760" spans="2:8" x14ac:dyDescent="0.25">
      <c r="B760" s="53" t="s">
        <v>753</v>
      </c>
      <c r="C760" s="47" t="s">
        <v>754</v>
      </c>
      <c r="D760" s="69" t="s">
        <v>168</v>
      </c>
      <c r="E760" s="49" t="s">
        <v>159</v>
      </c>
      <c r="F760" s="70">
        <v>2</v>
      </c>
      <c r="G760" s="88">
        <v>8.4700000000000006</v>
      </c>
      <c r="H760" s="51">
        <f t="shared" si="65"/>
        <v>16.940000000000001</v>
      </c>
    </row>
    <row r="761" spans="2:8" x14ac:dyDescent="0.25">
      <c r="B761" s="79" t="s">
        <v>755</v>
      </c>
      <c r="C761" s="47" t="s">
        <v>756</v>
      </c>
      <c r="D761" s="69" t="s">
        <v>117</v>
      </c>
      <c r="E761" s="49" t="s">
        <v>159</v>
      </c>
      <c r="F761" s="51">
        <v>1</v>
      </c>
      <c r="G761" s="88">
        <v>188.88</v>
      </c>
      <c r="H761" s="51">
        <f t="shared" si="65"/>
        <v>188.88</v>
      </c>
    </row>
    <row r="762" spans="2:8" x14ac:dyDescent="0.25">
      <c r="B762" s="52" t="s">
        <v>130</v>
      </c>
      <c r="C762" s="192" t="s">
        <v>232</v>
      </c>
      <c r="D762" s="192"/>
      <c r="E762" s="192"/>
      <c r="F762" s="192"/>
      <c r="G762" s="192"/>
      <c r="H762" s="192"/>
    </row>
    <row r="765" spans="2:8" ht="15.75" x14ac:dyDescent="0.25">
      <c r="B765" s="201" t="s">
        <v>505</v>
      </c>
      <c r="C765" s="191"/>
      <c r="D765" s="191"/>
      <c r="E765" s="191"/>
      <c r="F765" s="191"/>
      <c r="G765" s="191"/>
      <c r="H765" s="191"/>
    </row>
    <row r="766" spans="2:8" x14ac:dyDescent="0.25">
      <c r="B766" s="38" t="s">
        <v>121</v>
      </c>
      <c r="C766" s="39" t="s">
        <v>122</v>
      </c>
      <c r="D766" s="38" t="s">
        <v>123</v>
      </c>
      <c r="E766" s="38" t="s">
        <v>124</v>
      </c>
      <c r="F766" s="40" t="s">
        <v>125</v>
      </c>
      <c r="G766" s="40" t="s">
        <v>126</v>
      </c>
      <c r="H766" s="41" t="s">
        <v>127</v>
      </c>
    </row>
    <row r="767" spans="2:8" x14ac:dyDescent="0.25">
      <c r="B767" s="42" t="s">
        <v>750</v>
      </c>
      <c r="C767" s="43" t="s">
        <v>751</v>
      </c>
      <c r="D767" s="44" t="s">
        <v>117</v>
      </c>
      <c r="E767" s="38" t="s">
        <v>128</v>
      </c>
      <c r="F767" s="40"/>
      <c r="G767" s="40"/>
      <c r="H767" s="45">
        <f>SUM(H770:H772)</f>
        <v>225.53368</v>
      </c>
    </row>
    <row r="768" spans="2:8" x14ac:dyDescent="0.25">
      <c r="B768" s="53" t="s">
        <v>656</v>
      </c>
      <c r="C768" s="47" t="s">
        <v>226</v>
      </c>
      <c r="D768" s="69" t="s">
        <v>138</v>
      </c>
      <c r="E768" s="49" t="s">
        <v>272</v>
      </c>
      <c r="F768" s="51">
        <v>0.2</v>
      </c>
      <c r="G768" s="88">
        <v>4.8600000000000003</v>
      </c>
      <c r="H768" s="51">
        <f t="shared" ref="H768:H772" si="66">F768*G768</f>
        <v>0.97200000000000009</v>
      </c>
    </row>
    <row r="769" spans="2:8" x14ac:dyDescent="0.25">
      <c r="B769" s="53" t="s">
        <v>752</v>
      </c>
      <c r="C769" s="47" t="s">
        <v>979</v>
      </c>
      <c r="D769" s="69" t="s">
        <v>138</v>
      </c>
      <c r="E769" s="49" t="s">
        <v>272</v>
      </c>
      <c r="F769" s="70">
        <v>1</v>
      </c>
      <c r="G769" s="88">
        <v>8.24</v>
      </c>
      <c r="H769" s="51">
        <f t="shared" si="66"/>
        <v>8.24</v>
      </c>
    </row>
    <row r="770" spans="2:8" x14ac:dyDescent="0.25">
      <c r="B770" s="53"/>
      <c r="C770" s="43" t="s">
        <v>155</v>
      </c>
      <c r="D770" s="61" t="s">
        <v>156</v>
      </c>
      <c r="E770" s="38" t="s">
        <v>139</v>
      </c>
      <c r="F770" s="62">
        <v>1.1399999999999999</v>
      </c>
      <c r="G770" s="51"/>
      <c r="H770" s="63">
        <f>(SUM(H768:H769))*(1+F770)</f>
        <v>19.713679999999997</v>
      </c>
    </row>
    <row r="771" spans="2:8" x14ac:dyDescent="0.25">
      <c r="B771" s="53" t="s">
        <v>753</v>
      </c>
      <c r="C771" s="47" t="s">
        <v>754</v>
      </c>
      <c r="D771" s="69" t="s">
        <v>168</v>
      </c>
      <c r="E771" s="49" t="s">
        <v>159</v>
      </c>
      <c r="F771" s="70">
        <v>2</v>
      </c>
      <c r="G771" s="88">
        <v>8.4700000000000006</v>
      </c>
      <c r="H771" s="51">
        <f t="shared" si="66"/>
        <v>16.940000000000001</v>
      </c>
    </row>
    <row r="772" spans="2:8" x14ac:dyDescent="0.25">
      <c r="B772" s="79" t="s">
        <v>755</v>
      </c>
      <c r="C772" s="47" t="s">
        <v>756</v>
      </c>
      <c r="D772" s="69" t="s">
        <v>117</v>
      </c>
      <c r="E772" s="49" t="s">
        <v>159</v>
      </c>
      <c r="F772" s="51">
        <v>1</v>
      </c>
      <c r="G772" s="88">
        <v>188.88</v>
      </c>
      <c r="H772" s="51">
        <f t="shared" si="66"/>
        <v>188.88</v>
      </c>
    </row>
    <row r="773" spans="2:8" x14ac:dyDescent="0.25">
      <c r="B773" s="52" t="s">
        <v>130</v>
      </c>
      <c r="C773" s="192" t="s">
        <v>232</v>
      </c>
      <c r="D773" s="192"/>
      <c r="E773" s="192"/>
      <c r="F773" s="192"/>
      <c r="G773" s="192"/>
      <c r="H773" s="192"/>
    </row>
    <row r="774" spans="2:8" x14ac:dyDescent="0.25">
      <c r="B774" s="75"/>
      <c r="C774" s="76"/>
      <c r="D774" s="76"/>
      <c r="E774" s="76"/>
      <c r="F774" s="76"/>
      <c r="G774" s="76"/>
      <c r="H774" s="76"/>
    </row>
    <row r="776" spans="2:8" ht="15.75" x14ac:dyDescent="0.25">
      <c r="B776" s="201" t="s">
        <v>506</v>
      </c>
      <c r="C776" s="191"/>
      <c r="D776" s="191"/>
      <c r="E776" s="191"/>
      <c r="F776" s="191"/>
      <c r="G776" s="191"/>
      <c r="H776" s="191"/>
    </row>
    <row r="777" spans="2:8" x14ac:dyDescent="0.25">
      <c r="B777" s="38" t="s">
        <v>121</v>
      </c>
      <c r="C777" s="39" t="s">
        <v>122</v>
      </c>
      <c r="D777" s="38" t="s">
        <v>123</v>
      </c>
      <c r="E777" s="38" t="s">
        <v>124</v>
      </c>
      <c r="F777" s="40" t="s">
        <v>125</v>
      </c>
      <c r="G777" s="40" t="s">
        <v>126</v>
      </c>
      <c r="H777" s="41" t="s">
        <v>127</v>
      </c>
    </row>
    <row r="778" spans="2:8" ht="30" x14ac:dyDescent="0.25">
      <c r="B778" s="42" t="s">
        <v>757</v>
      </c>
      <c r="C778" s="43" t="s">
        <v>758</v>
      </c>
      <c r="D778" s="44" t="s">
        <v>117</v>
      </c>
      <c r="E778" s="38" t="s">
        <v>128</v>
      </c>
      <c r="F778" s="40"/>
      <c r="G778" s="40"/>
      <c r="H778" s="45">
        <f>SUM(H781:H783)</f>
        <v>169.922</v>
      </c>
    </row>
    <row r="779" spans="2:8" x14ac:dyDescent="0.25">
      <c r="B779" s="53" t="s">
        <v>656</v>
      </c>
      <c r="C779" s="47" t="s">
        <v>226</v>
      </c>
      <c r="D779" s="69" t="s">
        <v>138</v>
      </c>
      <c r="E779" s="49" t="s">
        <v>272</v>
      </c>
      <c r="F779" s="49">
        <v>0.5</v>
      </c>
      <c r="G779" s="88">
        <v>4.8600000000000003</v>
      </c>
      <c r="H779" s="51">
        <f t="shared" ref="H779:H783" si="67">F779*G779</f>
        <v>2.4300000000000002</v>
      </c>
    </row>
    <row r="780" spans="2:8" x14ac:dyDescent="0.25">
      <c r="B780" s="53" t="s">
        <v>752</v>
      </c>
      <c r="C780" s="47" t="s">
        <v>979</v>
      </c>
      <c r="D780" s="69" t="s">
        <v>138</v>
      </c>
      <c r="E780" s="49" t="s">
        <v>272</v>
      </c>
      <c r="F780" s="49">
        <v>0.5</v>
      </c>
      <c r="G780" s="88">
        <v>8.24</v>
      </c>
      <c r="H780" s="51">
        <f t="shared" si="67"/>
        <v>4.12</v>
      </c>
    </row>
    <row r="781" spans="2:8" x14ac:dyDescent="0.25">
      <c r="B781" s="53"/>
      <c r="C781" s="43" t="s">
        <v>155</v>
      </c>
      <c r="D781" s="61" t="s">
        <v>156</v>
      </c>
      <c r="E781" s="38" t="s">
        <v>139</v>
      </c>
      <c r="F781" s="62">
        <v>1.1399999999999999</v>
      </c>
      <c r="G781" s="51"/>
      <c r="H781" s="63">
        <f>(SUM(H779:H780))*(1+F781)</f>
        <v>14.016999999999999</v>
      </c>
    </row>
    <row r="782" spans="2:8" x14ac:dyDescent="0.25">
      <c r="B782" s="53" t="s">
        <v>753</v>
      </c>
      <c r="C782" s="47" t="s">
        <v>754</v>
      </c>
      <c r="D782" s="69" t="s">
        <v>168</v>
      </c>
      <c r="E782" s="49" t="s">
        <v>159</v>
      </c>
      <c r="F782" s="49">
        <v>1.5</v>
      </c>
      <c r="G782" s="88">
        <v>8.4700000000000006</v>
      </c>
      <c r="H782" s="51">
        <f t="shared" si="67"/>
        <v>12.705000000000002</v>
      </c>
    </row>
    <row r="783" spans="2:8" x14ac:dyDescent="0.25">
      <c r="B783" s="79" t="s">
        <v>759</v>
      </c>
      <c r="C783" s="47" t="s">
        <v>760</v>
      </c>
      <c r="D783" s="69" t="s">
        <v>117</v>
      </c>
      <c r="E783" s="49" t="s">
        <v>159</v>
      </c>
      <c r="F783" s="54">
        <v>1</v>
      </c>
      <c r="G783" s="88">
        <v>143.19999999999999</v>
      </c>
      <c r="H783" s="51">
        <f t="shared" si="67"/>
        <v>143.19999999999999</v>
      </c>
    </row>
    <row r="784" spans="2:8" x14ac:dyDescent="0.25">
      <c r="B784" s="52" t="s">
        <v>130</v>
      </c>
      <c r="C784" s="192" t="s">
        <v>232</v>
      </c>
      <c r="D784" s="192"/>
      <c r="E784" s="192"/>
      <c r="F784" s="192"/>
      <c r="G784" s="192"/>
      <c r="H784" s="192"/>
    </row>
    <row r="787" spans="2:8" ht="15.75" x14ac:dyDescent="0.25">
      <c r="B787" s="202" t="s">
        <v>507</v>
      </c>
      <c r="C787" s="203"/>
      <c r="D787" s="203"/>
      <c r="E787" s="203"/>
      <c r="F787" s="203"/>
      <c r="G787" s="203"/>
      <c r="H787" s="203"/>
    </row>
    <row r="788" spans="2:8" x14ac:dyDescent="0.25">
      <c r="B788" s="38" t="s">
        <v>121</v>
      </c>
      <c r="C788" s="39" t="s">
        <v>122</v>
      </c>
      <c r="D788" s="38" t="s">
        <v>123</v>
      </c>
      <c r="E788" s="38" t="s">
        <v>124</v>
      </c>
      <c r="F788" s="40" t="s">
        <v>125</v>
      </c>
      <c r="G788" s="40" t="s">
        <v>126</v>
      </c>
      <c r="H788" s="41" t="s">
        <v>127</v>
      </c>
    </row>
    <row r="789" spans="2:8" x14ac:dyDescent="0.25">
      <c r="B789" s="42"/>
      <c r="C789" s="43"/>
      <c r="D789" s="44" t="s">
        <v>123</v>
      </c>
      <c r="E789" s="38" t="s">
        <v>128</v>
      </c>
      <c r="F789" s="40"/>
      <c r="G789" s="40"/>
      <c r="H789" s="45">
        <f>SUM(H790:H792)</f>
        <v>0</v>
      </c>
    </row>
    <row r="790" spans="2:8" x14ac:dyDescent="0.25">
      <c r="B790" s="53"/>
      <c r="C790" s="47"/>
      <c r="D790" s="69"/>
      <c r="E790" s="49"/>
      <c r="F790" s="51"/>
      <c r="G790" s="40"/>
      <c r="H790" s="51">
        <f t="shared" ref="H790:H792" si="68">F790*G790</f>
        <v>0</v>
      </c>
    </row>
    <row r="791" spans="2:8" x14ac:dyDescent="0.25">
      <c r="B791" s="53"/>
      <c r="C791" s="47"/>
      <c r="D791" s="69"/>
      <c r="E791" s="49"/>
      <c r="F791" s="70"/>
      <c r="G791" s="40"/>
      <c r="H791" s="51">
        <f t="shared" si="68"/>
        <v>0</v>
      </c>
    </row>
    <row r="792" spans="2:8" x14ac:dyDescent="0.25">
      <c r="B792" s="79"/>
      <c r="C792" s="47"/>
      <c r="D792" s="69"/>
      <c r="E792" s="49"/>
      <c r="F792" s="51"/>
      <c r="G792" s="40"/>
      <c r="H792" s="51">
        <f t="shared" si="68"/>
        <v>0</v>
      </c>
    </row>
    <row r="793" spans="2:8" x14ac:dyDescent="0.25">
      <c r="B793" s="52" t="s">
        <v>130</v>
      </c>
      <c r="C793" s="192"/>
      <c r="D793" s="192"/>
      <c r="E793" s="192"/>
      <c r="F793" s="192"/>
      <c r="G793" s="192"/>
      <c r="H793" s="192"/>
    </row>
    <row r="796" spans="2:8" ht="15.75" x14ac:dyDescent="0.25">
      <c r="B796" s="201" t="s">
        <v>508</v>
      </c>
      <c r="C796" s="191"/>
      <c r="D796" s="191"/>
      <c r="E796" s="191"/>
      <c r="F796" s="191"/>
      <c r="G796" s="191"/>
      <c r="H796" s="191"/>
    </row>
    <row r="797" spans="2:8" x14ac:dyDescent="0.25">
      <c r="B797" s="38" t="s">
        <v>121</v>
      </c>
      <c r="C797" s="39" t="s">
        <v>122</v>
      </c>
      <c r="D797" s="38" t="s">
        <v>123</v>
      </c>
      <c r="E797" s="38" t="s">
        <v>124</v>
      </c>
      <c r="F797" s="40" t="s">
        <v>125</v>
      </c>
      <c r="G797" s="40" t="s">
        <v>126</v>
      </c>
      <c r="H797" s="41" t="s">
        <v>127</v>
      </c>
    </row>
    <row r="798" spans="2:8" x14ac:dyDescent="0.25">
      <c r="B798" s="42" t="s">
        <v>761</v>
      </c>
      <c r="C798" s="43" t="s">
        <v>762</v>
      </c>
      <c r="D798" s="44" t="s">
        <v>123</v>
      </c>
      <c r="E798" s="38" t="s">
        <v>128</v>
      </c>
      <c r="F798" s="40"/>
      <c r="G798" s="40"/>
      <c r="H798" s="45">
        <f>SUM(H800:H801)</f>
        <v>326.61671999999999</v>
      </c>
    </row>
    <row r="799" spans="2:8" x14ac:dyDescent="0.25">
      <c r="B799" s="53" t="s">
        <v>763</v>
      </c>
      <c r="C799" s="47" t="s">
        <v>764</v>
      </c>
      <c r="D799" s="69" t="s">
        <v>138</v>
      </c>
      <c r="E799" s="49" t="s">
        <v>272</v>
      </c>
      <c r="F799" s="51">
        <v>0.2</v>
      </c>
      <c r="G799" s="88">
        <v>8.24</v>
      </c>
      <c r="H799" s="51">
        <f t="shared" ref="H799:H801" si="69">F799*G799</f>
        <v>1.6480000000000001</v>
      </c>
    </row>
    <row r="800" spans="2:8" x14ac:dyDescent="0.25">
      <c r="B800" s="53"/>
      <c r="C800" s="43" t="s">
        <v>155</v>
      </c>
      <c r="D800" s="61" t="s">
        <v>156</v>
      </c>
      <c r="E800" s="38" t="s">
        <v>139</v>
      </c>
      <c r="F800" s="62">
        <v>1.1399999999999999</v>
      </c>
      <c r="G800" s="51"/>
      <c r="H800" s="63">
        <f>(H799)*(1+F800)</f>
        <v>3.5267199999999996</v>
      </c>
    </row>
    <row r="801" spans="2:8" x14ac:dyDescent="0.25">
      <c r="B801" s="53" t="s">
        <v>763</v>
      </c>
      <c r="C801" s="47" t="s">
        <v>762</v>
      </c>
      <c r="D801" s="69" t="s">
        <v>123</v>
      </c>
      <c r="E801" s="49" t="s">
        <v>159</v>
      </c>
      <c r="F801" s="70">
        <v>1</v>
      </c>
      <c r="G801" s="93">
        <v>323.08999999999997</v>
      </c>
      <c r="H801" s="51">
        <f t="shared" si="69"/>
        <v>323.08999999999997</v>
      </c>
    </row>
    <row r="802" spans="2:8" x14ac:dyDescent="0.25">
      <c r="B802" s="52" t="s">
        <v>130</v>
      </c>
      <c r="C802" s="192" t="s">
        <v>321</v>
      </c>
      <c r="D802" s="192"/>
      <c r="E802" s="192"/>
      <c r="F802" s="192"/>
      <c r="G802" s="192"/>
      <c r="H802" s="192"/>
    </row>
    <row r="805" spans="2:8" ht="15.75" x14ac:dyDescent="0.25">
      <c r="B805" s="201" t="s">
        <v>509</v>
      </c>
      <c r="C805" s="191"/>
      <c r="D805" s="191"/>
      <c r="E805" s="191"/>
      <c r="F805" s="191"/>
      <c r="G805" s="191"/>
      <c r="H805" s="191"/>
    </row>
    <row r="806" spans="2:8" x14ac:dyDescent="0.25">
      <c r="B806" s="38" t="s">
        <v>121</v>
      </c>
      <c r="C806" s="39" t="s">
        <v>122</v>
      </c>
      <c r="D806" s="38" t="s">
        <v>123</v>
      </c>
      <c r="E806" s="38" t="s">
        <v>124</v>
      </c>
      <c r="F806" s="40" t="s">
        <v>125</v>
      </c>
      <c r="G806" s="40" t="s">
        <v>126</v>
      </c>
      <c r="H806" s="41" t="s">
        <v>127</v>
      </c>
    </row>
    <row r="807" spans="2:8" ht="30" x14ac:dyDescent="0.25">
      <c r="B807" s="42" t="s">
        <v>765</v>
      </c>
      <c r="C807" s="43" t="s">
        <v>766</v>
      </c>
      <c r="D807" s="44" t="s">
        <v>123</v>
      </c>
      <c r="E807" s="38" t="s">
        <v>128</v>
      </c>
      <c r="F807" s="40"/>
      <c r="G807" s="40"/>
      <c r="H807" s="45">
        <f>SUM(H811:H825)</f>
        <v>298.94959599999999</v>
      </c>
    </row>
    <row r="808" spans="2:8" x14ac:dyDescent="0.25">
      <c r="B808" s="53" t="s">
        <v>701</v>
      </c>
      <c r="C808" s="47" t="s">
        <v>735</v>
      </c>
      <c r="D808" s="69" t="s">
        <v>138</v>
      </c>
      <c r="E808" s="49" t="s">
        <v>272</v>
      </c>
      <c r="F808" s="51">
        <v>0.75</v>
      </c>
      <c r="G808" s="88">
        <v>8.24</v>
      </c>
      <c r="H808" s="51">
        <f t="shared" ref="H808:H825" si="70">F808*G808</f>
        <v>6.18</v>
      </c>
    </row>
    <row r="809" spans="2:8" ht="18" customHeight="1" x14ac:dyDescent="0.25">
      <c r="B809" s="53" t="s">
        <v>702</v>
      </c>
      <c r="C809" s="47" t="s">
        <v>703</v>
      </c>
      <c r="D809" s="69" t="s">
        <v>138</v>
      </c>
      <c r="E809" s="49" t="s">
        <v>272</v>
      </c>
      <c r="F809" s="70">
        <v>2.1</v>
      </c>
      <c r="G809" s="88">
        <v>4.8600000000000003</v>
      </c>
      <c r="H809" s="51">
        <f t="shared" si="70"/>
        <v>10.206000000000001</v>
      </c>
    </row>
    <row r="810" spans="2:8" ht="18" customHeight="1" x14ac:dyDescent="0.25">
      <c r="B810" s="79" t="s">
        <v>763</v>
      </c>
      <c r="C810" s="47" t="s">
        <v>764</v>
      </c>
      <c r="D810" s="69" t="s">
        <v>138</v>
      </c>
      <c r="E810" s="49" t="s">
        <v>159</v>
      </c>
      <c r="F810" s="71">
        <v>0.83499999999999996</v>
      </c>
      <c r="G810" s="88">
        <v>8.24</v>
      </c>
      <c r="H810" s="51">
        <f>F810*G810</f>
        <v>6.8803999999999998</v>
      </c>
    </row>
    <row r="811" spans="2:8" x14ac:dyDescent="0.25">
      <c r="B811" s="53"/>
      <c r="C811" s="43" t="s">
        <v>155</v>
      </c>
      <c r="D811" s="61" t="s">
        <v>156</v>
      </c>
      <c r="E811" s="38" t="s">
        <v>139</v>
      </c>
      <c r="F811" s="62">
        <v>1.1399999999999999</v>
      </c>
      <c r="G811" s="51"/>
      <c r="H811" s="63">
        <f>(SUM(H808:H810))*(1+F811)</f>
        <v>49.790096000000005</v>
      </c>
    </row>
    <row r="812" spans="2:8" ht="18" customHeight="1" x14ac:dyDescent="0.25">
      <c r="B812" s="79" t="s">
        <v>767</v>
      </c>
      <c r="C812" s="47" t="s">
        <v>768</v>
      </c>
      <c r="D812" s="69" t="s">
        <v>135</v>
      </c>
      <c r="E812" s="49" t="s">
        <v>159</v>
      </c>
      <c r="F812" s="49">
        <v>1.1999999999999999E-3</v>
      </c>
      <c r="G812" s="51">
        <v>73</v>
      </c>
      <c r="H812" s="51">
        <f t="shared" si="70"/>
        <v>8.7599999999999997E-2</v>
      </c>
    </row>
    <row r="813" spans="2:8" ht="18" customHeight="1" x14ac:dyDescent="0.25">
      <c r="B813" s="53" t="s">
        <v>708</v>
      </c>
      <c r="C813" s="47" t="s">
        <v>709</v>
      </c>
      <c r="D813" s="69" t="s">
        <v>168</v>
      </c>
      <c r="E813" s="49" t="s">
        <v>159</v>
      </c>
      <c r="F813" s="71">
        <v>0.15</v>
      </c>
      <c r="G813" s="88">
        <v>0.53</v>
      </c>
      <c r="H813" s="51">
        <f t="shared" si="70"/>
        <v>7.9500000000000001E-2</v>
      </c>
    </row>
    <row r="814" spans="2:8" ht="18" customHeight="1" x14ac:dyDescent="0.25">
      <c r="B814" s="53" t="s">
        <v>769</v>
      </c>
      <c r="C814" s="47" t="s">
        <v>770</v>
      </c>
      <c r="D814" s="69" t="s">
        <v>123</v>
      </c>
      <c r="E814" s="49" t="s">
        <v>159</v>
      </c>
      <c r="F814" s="71">
        <v>7.85E-2</v>
      </c>
      <c r="G814" s="88">
        <v>3.6</v>
      </c>
      <c r="H814" s="51">
        <f t="shared" si="70"/>
        <v>0.28260000000000002</v>
      </c>
    </row>
    <row r="815" spans="2:8" ht="18" customHeight="1" x14ac:dyDescent="0.25">
      <c r="B815" s="53" t="s">
        <v>771</v>
      </c>
      <c r="C815" s="47" t="s">
        <v>772</v>
      </c>
      <c r="D815" s="69" t="s">
        <v>123</v>
      </c>
      <c r="E815" s="49" t="s">
        <v>159</v>
      </c>
      <c r="F815" s="70">
        <v>0.25</v>
      </c>
      <c r="G815" s="88">
        <v>1.98</v>
      </c>
      <c r="H815" s="51">
        <f t="shared" si="70"/>
        <v>0.495</v>
      </c>
    </row>
    <row r="816" spans="2:8" ht="18" customHeight="1" x14ac:dyDescent="0.25">
      <c r="B816" s="53" t="s">
        <v>773</v>
      </c>
      <c r="C816" s="47" t="s">
        <v>774</v>
      </c>
      <c r="D816" s="69" t="s">
        <v>123</v>
      </c>
      <c r="E816" s="49" t="s">
        <v>159</v>
      </c>
      <c r="F816" s="70">
        <v>2</v>
      </c>
      <c r="G816" s="88">
        <v>10.09</v>
      </c>
      <c r="H816" s="51">
        <f t="shared" si="70"/>
        <v>20.18</v>
      </c>
    </row>
    <row r="817" spans="2:8" ht="18" customHeight="1" x14ac:dyDescent="0.25">
      <c r="B817" s="79" t="s">
        <v>775</v>
      </c>
      <c r="C817" s="47" t="s">
        <v>776</v>
      </c>
      <c r="D817" s="69" t="s">
        <v>123</v>
      </c>
      <c r="E817" s="49" t="s">
        <v>159</v>
      </c>
      <c r="F817" s="70">
        <v>6.0000000000000001E-3</v>
      </c>
      <c r="G817" s="88">
        <v>30.8</v>
      </c>
      <c r="H817" s="51">
        <f t="shared" si="70"/>
        <v>0.18480000000000002</v>
      </c>
    </row>
    <row r="818" spans="2:8" ht="29.25" customHeight="1" x14ac:dyDescent="0.25">
      <c r="B818" s="53" t="s">
        <v>777</v>
      </c>
      <c r="C818" s="47" t="s">
        <v>778</v>
      </c>
      <c r="D818" s="69" t="s">
        <v>143</v>
      </c>
      <c r="E818" s="49" t="s">
        <v>159</v>
      </c>
      <c r="F818" s="70">
        <v>3</v>
      </c>
      <c r="G818" s="88">
        <v>35.22</v>
      </c>
      <c r="H818" s="51">
        <f t="shared" si="70"/>
        <v>105.66</v>
      </c>
    </row>
    <row r="819" spans="2:8" ht="18" customHeight="1" x14ac:dyDescent="0.25">
      <c r="B819" s="53" t="s">
        <v>779</v>
      </c>
      <c r="C819" s="47" t="s">
        <v>780</v>
      </c>
      <c r="D819" s="69" t="s">
        <v>123</v>
      </c>
      <c r="E819" s="49" t="s">
        <v>159</v>
      </c>
      <c r="F819" s="70">
        <v>1</v>
      </c>
      <c r="G819" s="88">
        <v>8.65</v>
      </c>
      <c r="H819" s="51">
        <f t="shared" si="70"/>
        <v>8.65</v>
      </c>
    </row>
    <row r="820" spans="2:8" ht="18" customHeight="1" x14ac:dyDescent="0.25">
      <c r="B820" s="79" t="s">
        <v>781</v>
      </c>
      <c r="C820" s="47" t="s">
        <v>782</v>
      </c>
      <c r="D820" s="69" t="s">
        <v>123</v>
      </c>
      <c r="E820" s="49" t="s">
        <v>159</v>
      </c>
      <c r="F820" s="51">
        <v>2</v>
      </c>
      <c r="G820" s="88">
        <v>1.17</v>
      </c>
      <c r="H820" s="51">
        <f t="shared" si="70"/>
        <v>2.34</v>
      </c>
    </row>
    <row r="821" spans="2:8" ht="18" customHeight="1" x14ac:dyDescent="0.25">
      <c r="B821" s="53" t="s">
        <v>783</v>
      </c>
      <c r="C821" s="47" t="s">
        <v>784</v>
      </c>
      <c r="D821" s="69" t="s">
        <v>123</v>
      </c>
      <c r="E821" s="49" t="s">
        <v>159</v>
      </c>
      <c r="F821" s="70">
        <v>3</v>
      </c>
      <c r="G821" s="88">
        <v>13.66</v>
      </c>
      <c r="H821" s="51">
        <f t="shared" si="70"/>
        <v>40.980000000000004</v>
      </c>
    </row>
    <row r="822" spans="2:8" ht="18" customHeight="1" x14ac:dyDescent="0.25">
      <c r="B822" s="53" t="s">
        <v>785</v>
      </c>
      <c r="C822" s="47" t="s">
        <v>786</v>
      </c>
      <c r="D822" s="69" t="s">
        <v>123</v>
      </c>
      <c r="E822" s="49" t="s">
        <v>159</v>
      </c>
      <c r="F822" s="70">
        <v>2</v>
      </c>
      <c r="G822" s="88">
        <v>0.06</v>
      </c>
      <c r="H822" s="51">
        <f t="shared" si="70"/>
        <v>0.12</v>
      </c>
    </row>
    <row r="823" spans="2:8" ht="18" customHeight="1" x14ac:dyDescent="0.25">
      <c r="B823" s="79" t="s">
        <v>787</v>
      </c>
      <c r="C823" s="47" t="s">
        <v>788</v>
      </c>
      <c r="D823" s="69" t="s">
        <v>123</v>
      </c>
      <c r="E823" s="49" t="s">
        <v>159</v>
      </c>
      <c r="F823" s="51">
        <v>3</v>
      </c>
      <c r="G823" s="88">
        <v>6.73</v>
      </c>
      <c r="H823" s="51">
        <f t="shared" si="70"/>
        <v>20.190000000000001</v>
      </c>
    </row>
    <row r="824" spans="2:8" ht="18" customHeight="1" x14ac:dyDescent="0.25">
      <c r="B824" s="53" t="s">
        <v>789</v>
      </c>
      <c r="C824" s="47" t="s">
        <v>790</v>
      </c>
      <c r="D824" s="69" t="s">
        <v>123</v>
      </c>
      <c r="E824" s="49" t="s">
        <v>159</v>
      </c>
      <c r="F824" s="70">
        <v>1</v>
      </c>
      <c r="G824" s="88">
        <v>40.4</v>
      </c>
      <c r="H824" s="51">
        <f t="shared" si="70"/>
        <v>40.4</v>
      </c>
    </row>
    <row r="825" spans="2:8" ht="18" customHeight="1" x14ac:dyDescent="0.25">
      <c r="B825" s="79" t="s">
        <v>791</v>
      </c>
      <c r="C825" s="47" t="s">
        <v>792</v>
      </c>
      <c r="D825" s="69" t="s">
        <v>123</v>
      </c>
      <c r="E825" s="49" t="s">
        <v>159</v>
      </c>
      <c r="F825" s="51">
        <v>3</v>
      </c>
      <c r="G825" s="88">
        <v>3.17</v>
      </c>
      <c r="H825" s="51">
        <f t="shared" si="70"/>
        <v>9.51</v>
      </c>
    </row>
    <row r="826" spans="2:8" x14ac:dyDescent="0.25">
      <c r="B826" s="52" t="s">
        <v>130</v>
      </c>
      <c r="C826" s="192" t="s">
        <v>321</v>
      </c>
      <c r="D826" s="192"/>
      <c r="E826" s="192"/>
      <c r="F826" s="192"/>
      <c r="G826" s="192"/>
      <c r="H826" s="192"/>
    </row>
    <row r="829" spans="2:8" ht="15.75" x14ac:dyDescent="0.25">
      <c r="B829" s="201" t="s">
        <v>510</v>
      </c>
      <c r="C829" s="191"/>
      <c r="D829" s="191"/>
      <c r="E829" s="191"/>
      <c r="F829" s="191"/>
      <c r="G829" s="191"/>
      <c r="H829" s="191"/>
    </row>
    <row r="830" spans="2:8" x14ac:dyDescent="0.25">
      <c r="B830" s="38" t="s">
        <v>121</v>
      </c>
      <c r="C830" s="39" t="s">
        <v>122</v>
      </c>
      <c r="D830" s="38" t="s">
        <v>123</v>
      </c>
      <c r="E830" s="38" t="s">
        <v>124</v>
      </c>
      <c r="F830" s="40" t="s">
        <v>125</v>
      </c>
      <c r="G830" s="40" t="s">
        <v>126</v>
      </c>
      <c r="H830" s="41" t="s">
        <v>127</v>
      </c>
    </row>
    <row r="831" spans="2:8" x14ac:dyDescent="0.25">
      <c r="B831" s="42" t="s">
        <v>793</v>
      </c>
      <c r="C831" s="43" t="s">
        <v>794</v>
      </c>
      <c r="D831" s="44" t="s">
        <v>123</v>
      </c>
      <c r="E831" s="38" t="s">
        <v>128</v>
      </c>
      <c r="F831" s="40"/>
      <c r="G831" s="40"/>
      <c r="H831" s="45">
        <f>SUM(H834:H835)</f>
        <v>70.305966900000001</v>
      </c>
    </row>
    <row r="832" spans="2:8" x14ac:dyDescent="0.25">
      <c r="B832" s="53" t="s">
        <v>795</v>
      </c>
      <c r="C832" s="47" t="s">
        <v>980</v>
      </c>
      <c r="D832" s="69" t="s">
        <v>138</v>
      </c>
      <c r="E832" s="49" t="s">
        <v>272</v>
      </c>
      <c r="F832" s="71">
        <v>0.39550000000000002</v>
      </c>
      <c r="G832" s="88">
        <v>5.13</v>
      </c>
      <c r="H832" s="51">
        <f t="shared" ref="H832:H835" si="71">F832*G832</f>
        <v>2.028915</v>
      </c>
    </row>
    <row r="833" spans="2:8" x14ac:dyDescent="0.25">
      <c r="B833" s="53" t="s">
        <v>796</v>
      </c>
      <c r="C833" s="47" t="s">
        <v>981</v>
      </c>
      <c r="D833" s="69" t="s">
        <v>138</v>
      </c>
      <c r="E833" s="49" t="s">
        <v>272</v>
      </c>
      <c r="F833" s="71">
        <v>0.39550000000000002</v>
      </c>
      <c r="G833" s="88">
        <v>8.24</v>
      </c>
      <c r="H833" s="51">
        <f t="shared" si="71"/>
        <v>3.2589200000000003</v>
      </c>
    </row>
    <row r="834" spans="2:8" x14ac:dyDescent="0.25">
      <c r="B834" s="53"/>
      <c r="C834" s="43" t="s">
        <v>155</v>
      </c>
      <c r="D834" s="61" t="s">
        <v>156</v>
      </c>
      <c r="E834" s="38" t="s">
        <v>139</v>
      </c>
      <c r="F834" s="62">
        <v>1.1399999999999999</v>
      </c>
      <c r="G834" s="51"/>
      <c r="H834" s="63">
        <f>(SUM(H832:H833))*(1+F834)</f>
        <v>11.315966899999999</v>
      </c>
    </row>
    <row r="835" spans="2:8" ht="30" x14ac:dyDescent="0.25">
      <c r="B835" s="79" t="s">
        <v>797</v>
      </c>
      <c r="C835" s="47" t="s">
        <v>511</v>
      </c>
      <c r="D835" s="69" t="s">
        <v>123</v>
      </c>
      <c r="E835" s="49" t="s">
        <v>159</v>
      </c>
      <c r="F835" s="71">
        <v>1</v>
      </c>
      <c r="G835" s="88">
        <v>58.99</v>
      </c>
      <c r="H835" s="51">
        <f t="shared" si="71"/>
        <v>58.99</v>
      </c>
    </row>
    <row r="836" spans="2:8" x14ac:dyDescent="0.25">
      <c r="B836" s="52" t="s">
        <v>130</v>
      </c>
      <c r="C836" s="192" t="s">
        <v>232</v>
      </c>
      <c r="D836" s="192"/>
      <c r="E836" s="192"/>
      <c r="F836" s="192"/>
      <c r="G836" s="192"/>
      <c r="H836" s="192"/>
    </row>
    <row r="839" spans="2:8" ht="15.75" x14ac:dyDescent="0.25">
      <c r="B839" s="201" t="s">
        <v>512</v>
      </c>
      <c r="C839" s="191"/>
      <c r="D839" s="191"/>
      <c r="E839" s="191"/>
      <c r="F839" s="191"/>
      <c r="G839" s="191"/>
      <c r="H839" s="191"/>
    </row>
    <row r="840" spans="2:8" x14ac:dyDescent="0.25">
      <c r="B840" s="38" t="s">
        <v>121</v>
      </c>
      <c r="C840" s="39" t="s">
        <v>122</v>
      </c>
      <c r="D840" s="38" t="s">
        <v>123</v>
      </c>
      <c r="E840" s="38" t="s">
        <v>124</v>
      </c>
      <c r="F840" s="40" t="s">
        <v>125</v>
      </c>
      <c r="G840" s="40" t="s">
        <v>126</v>
      </c>
      <c r="H840" s="41" t="s">
        <v>127</v>
      </c>
    </row>
    <row r="841" spans="2:8" ht="30" x14ac:dyDescent="0.25">
      <c r="B841" s="42" t="s">
        <v>798</v>
      </c>
      <c r="C841" s="43" t="s">
        <v>799</v>
      </c>
      <c r="D841" s="44" t="s">
        <v>123</v>
      </c>
      <c r="E841" s="38" t="s">
        <v>128</v>
      </c>
      <c r="F841" s="40"/>
      <c r="G841" s="88"/>
      <c r="H841" s="45">
        <f>SUM(H843:H844)</f>
        <v>418.32040000000001</v>
      </c>
    </row>
    <row r="842" spans="2:8" x14ac:dyDescent="0.25">
      <c r="B842" s="53" t="s">
        <v>800</v>
      </c>
      <c r="C842" s="47" t="s">
        <v>513</v>
      </c>
      <c r="D842" s="69" t="s">
        <v>138</v>
      </c>
      <c r="E842" s="49" t="s">
        <v>272</v>
      </c>
      <c r="F842" s="51">
        <v>1.5</v>
      </c>
      <c r="G842" s="88">
        <v>8.24</v>
      </c>
      <c r="H842" s="51">
        <f t="shared" ref="H842:H844" si="72">F842*G842</f>
        <v>12.36</v>
      </c>
    </row>
    <row r="843" spans="2:8" x14ac:dyDescent="0.25">
      <c r="B843" s="53"/>
      <c r="C843" s="43" t="s">
        <v>155</v>
      </c>
      <c r="D843" s="61" t="s">
        <v>156</v>
      </c>
      <c r="E843" s="38" t="s">
        <v>139</v>
      </c>
      <c r="F843" s="62">
        <v>1.1399999999999999</v>
      </c>
      <c r="G843" s="51"/>
      <c r="H843" s="63">
        <f>(H842)*(1+F843)</f>
        <v>26.450399999999995</v>
      </c>
    </row>
    <row r="844" spans="2:8" ht="30" x14ac:dyDescent="0.25">
      <c r="B844" s="53" t="s">
        <v>801</v>
      </c>
      <c r="C844" s="47" t="s">
        <v>799</v>
      </c>
      <c r="D844" s="69" t="s">
        <v>123</v>
      </c>
      <c r="E844" s="49" t="s">
        <v>159</v>
      </c>
      <c r="F844" s="70">
        <v>1</v>
      </c>
      <c r="G844" s="93">
        <v>391.87</v>
      </c>
      <c r="H844" s="51">
        <f t="shared" si="72"/>
        <v>391.87</v>
      </c>
    </row>
    <row r="845" spans="2:8" x14ac:dyDescent="0.25">
      <c r="B845" s="52" t="s">
        <v>130</v>
      </c>
      <c r="C845" s="192" t="s">
        <v>514</v>
      </c>
      <c r="D845" s="192"/>
      <c r="E845" s="192"/>
      <c r="F845" s="192"/>
      <c r="G845" s="192"/>
      <c r="H845" s="192"/>
    </row>
    <row r="848" spans="2:8" ht="15.75" x14ac:dyDescent="0.25">
      <c r="B848" s="201" t="s">
        <v>515</v>
      </c>
      <c r="C848" s="191"/>
      <c r="D848" s="191"/>
      <c r="E848" s="191"/>
      <c r="F848" s="191"/>
      <c r="G848" s="191"/>
      <c r="H848" s="191"/>
    </row>
    <row r="849" spans="2:8" x14ac:dyDescent="0.25">
      <c r="B849" s="38" t="s">
        <v>121</v>
      </c>
      <c r="C849" s="39" t="s">
        <v>122</v>
      </c>
      <c r="D849" s="38" t="s">
        <v>123</v>
      </c>
      <c r="E849" s="38" t="s">
        <v>124</v>
      </c>
      <c r="F849" s="40" t="s">
        <v>125</v>
      </c>
      <c r="G849" s="40" t="s">
        <v>126</v>
      </c>
      <c r="H849" s="41" t="s">
        <v>127</v>
      </c>
    </row>
    <row r="850" spans="2:8" x14ac:dyDescent="0.25">
      <c r="B850" s="42" t="s">
        <v>802</v>
      </c>
      <c r="C850" s="43" t="s">
        <v>803</v>
      </c>
      <c r="D850" s="44" t="s">
        <v>123</v>
      </c>
      <c r="E850" s="38" t="s">
        <v>128</v>
      </c>
      <c r="F850" s="40"/>
      <c r="G850" s="40"/>
      <c r="H850" s="45">
        <f>SUM(H853:H854)</f>
        <v>83.441447039999986</v>
      </c>
    </row>
    <row r="851" spans="2:8" x14ac:dyDescent="0.25">
      <c r="B851" s="53" t="s">
        <v>795</v>
      </c>
      <c r="C851" s="47" t="s">
        <v>980</v>
      </c>
      <c r="D851" s="69" t="s">
        <v>138</v>
      </c>
      <c r="E851" s="49" t="s">
        <v>272</v>
      </c>
      <c r="F851" s="71">
        <v>1.1328</v>
      </c>
      <c r="G851" s="88">
        <v>5.13</v>
      </c>
      <c r="H851" s="51">
        <f t="shared" ref="H851:H854" si="73">F851*G851</f>
        <v>5.8112640000000004</v>
      </c>
    </row>
    <row r="852" spans="2:8" x14ac:dyDescent="0.25">
      <c r="B852" s="53" t="s">
        <v>796</v>
      </c>
      <c r="C852" s="47" t="s">
        <v>981</v>
      </c>
      <c r="D852" s="69" t="s">
        <v>138</v>
      </c>
      <c r="E852" s="49" t="s">
        <v>272</v>
      </c>
      <c r="F852" s="71">
        <v>1.1328</v>
      </c>
      <c r="G852" s="88">
        <v>8.24</v>
      </c>
      <c r="H852" s="51">
        <f t="shared" si="73"/>
        <v>9.3342720000000003</v>
      </c>
    </row>
    <row r="853" spans="2:8" x14ac:dyDescent="0.25">
      <c r="B853" s="53"/>
      <c r="C853" s="43" t="s">
        <v>155</v>
      </c>
      <c r="D853" s="61" t="s">
        <v>156</v>
      </c>
      <c r="E853" s="38" t="s">
        <v>139</v>
      </c>
      <c r="F853" s="62">
        <v>1.1399999999999999</v>
      </c>
      <c r="G853" s="51"/>
      <c r="H853" s="63">
        <f>(SUM(H851:H852))*(1+F853)</f>
        <v>32.411447039999992</v>
      </c>
    </row>
    <row r="854" spans="2:8" x14ac:dyDescent="0.25">
      <c r="B854" s="79" t="s">
        <v>804</v>
      </c>
      <c r="C854" s="47" t="s">
        <v>805</v>
      </c>
      <c r="D854" s="69" t="s">
        <v>123</v>
      </c>
      <c r="E854" s="49" t="s">
        <v>159</v>
      </c>
      <c r="F854" s="51">
        <v>1</v>
      </c>
      <c r="G854" s="88">
        <v>51.03</v>
      </c>
      <c r="H854" s="51">
        <f t="shared" si="73"/>
        <v>51.03</v>
      </c>
    </row>
    <row r="855" spans="2:8" x14ac:dyDescent="0.25">
      <c r="B855" s="52" t="s">
        <v>130</v>
      </c>
      <c r="C855" s="192" t="s">
        <v>232</v>
      </c>
      <c r="D855" s="192"/>
      <c r="E855" s="192"/>
      <c r="F855" s="192"/>
      <c r="G855" s="192"/>
      <c r="H855" s="192"/>
    </row>
    <row r="858" spans="2:8" ht="15.75" x14ac:dyDescent="0.25">
      <c r="B858" s="201" t="s">
        <v>516</v>
      </c>
      <c r="C858" s="191"/>
      <c r="D858" s="191"/>
      <c r="E858" s="191"/>
      <c r="F858" s="191"/>
      <c r="G858" s="191"/>
      <c r="H858" s="191"/>
    </row>
    <row r="859" spans="2:8" x14ac:dyDescent="0.25">
      <c r="B859" s="38" t="s">
        <v>121</v>
      </c>
      <c r="C859" s="39" t="s">
        <v>122</v>
      </c>
      <c r="D859" s="38" t="s">
        <v>123</v>
      </c>
      <c r="E859" s="38" t="s">
        <v>124</v>
      </c>
      <c r="F859" s="40" t="s">
        <v>125</v>
      </c>
      <c r="G859" s="40" t="s">
        <v>126</v>
      </c>
      <c r="H859" s="41" t="s">
        <v>127</v>
      </c>
    </row>
    <row r="860" spans="2:8" x14ac:dyDescent="0.25">
      <c r="B860" s="42" t="s">
        <v>806</v>
      </c>
      <c r="C860" s="43" t="s">
        <v>807</v>
      </c>
      <c r="D860" s="44" t="s">
        <v>123</v>
      </c>
      <c r="E860" s="38" t="s">
        <v>128</v>
      </c>
      <c r="F860" s="40"/>
      <c r="G860" s="40"/>
      <c r="H860" s="45">
        <f>SUM(H863:H864)</f>
        <v>121.49638675999999</v>
      </c>
    </row>
    <row r="861" spans="2:8" x14ac:dyDescent="0.25">
      <c r="B861" s="53" t="s">
        <v>795</v>
      </c>
      <c r="C861" s="47" t="s">
        <v>980</v>
      </c>
      <c r="D861" s="69" t="s">
        <v>138</v>
      </c>
      <c r="E861" s="49" t="s">
        <v>272</v>
      </c>
      <c r="F861" s="71">
        <v>0.15820000000000001</v>
      </c>
      <c r="G861" s="88">
        <v>5.13</v>
      </c>
      <c r="H861" s="51">
        <f t="shared" ref="H861:H864" si="74">F861*G861</f>
        <v>0.81156600000000001</v>
      </c>
    </row>
    <row r="862" spans="2:8" x14ac:dyDescent="0.25">
      <c r="B862" s="53" t="s">
        <v>796</v>
      </c>
      <c r="C862" s="47" t="s">
        <v>981</v>
      </c>
      <c r="D862" s="69" t="s">
        <v>138</v>
      </c>
      <c r="E862" s="49" t="s">
        <v>272</v>
      </c>
      <c r="F862" s="71">
        <v>0.15820000000000001</v>
      </c>
      <c r="G862" s="88">
        <v>8.24</v>
      </c>
      <c r="H862" s="51">
        <f t="shared" si="74"/>
        <v>1.3035680000000001</v>
      </c>
    </row>
    <row r="863" spans="2:8" x14ac:dyDescent="0.25">
      <c r="B863" s="53"/>
      <c r="C863" s="43" t="s">
        <v>155</v>
      </c>
      <c r="D863" s="61" t="s">
        <v>156</v>
      </c>
      <c r="E863" s="38" t="s">
        <v>139</v>
      </c>
      <c r="F863" s="62">
        <v>1.1399999999999999</v>
      </c>
      <c r="G863" s="51"/>
      <c r="H863" s="63">
        <f>(SUM(H861:H862))*(1+F863)</f>
        <v>4.5263867600000003</v>
      </c>
    </row>
    <row r="864" spans="2:8" x14ac:dyDescent="0.25">
      <c r="B864" s="79" t="s">
        <v>808</v>
      </c>
      <c r="C864" s="47" t="s">
        <v>809</v>
      </c>
      <c r="D864" s="69" t="s">
        <v>123</v>
      </c>
      <c r="E864" s="49" t="s">
        <v>159</v>
      </c>
      <c r="F864" s="51">
        <v>1</v>
      </c>
      <c r="G864" s="88">
        <v>116.97</v>
      </c>
      <c r="H864" s="51">
        <f t="shared" si="74"/>
        <v>116.97</v>
      </c>
    </row>
    <row r="865" spans="2:8" x14ac:dyDescent="0.25">
      <c r="B865" s="52" t="s">
        <v>130</v>
      </c>
      <c r="C865" s="192" t="s">
        <v>232</v>
      </c>
      <c r="D865" s="192"/>
      <c r="E865" s="192"/>
      <c r="F865" s="192"/>
      <c r="G865" s="192"/>
      <c r="H865" s="192"/>
    </row>
    <row r="868" spans="2:8" ht="15.75" x14ac:dyDescent="0.25">
      <c r="B868" s="202" t="s">
        <v>517</v>
      </c>
      <c r="C868" s="203"/>
      <c r="D868" s="203"/>
      <c r="E868" s="203"/>
      <c r="F868" s="203"/>
      <c r="G868" s="203"/>
      <c r="H868" s="203"/>
    </row>
    <row r="869" spans="2:8" x14ac:dyDescent="0.25">
      <c r="B869" s="38" t="s">
        <v>121</v>
      </c>
      <c r="C869" s="39" t="s">
        <v>122</v>
      </c>
      <c r="D869" s="38" t="s">
        <v>123</v>
      </c>
      <c r="E869" s="38" t="s">
        <v>124</v>
      </c>
      <c r="F869" s="40" t="s">
        <v>125</v>
      </c>
      <c r="G869" s="40" t="s">
        <v>126</v>
      </c>
      <c r="H869" s="41" t="s">
        <v>127</v>
      </c>
    </row>
    <row r="870" spans="2:8" x14ac:dyDescent="0.25">
      <c r="B870" s="42"/>
      <c r="C870" s="43"/>
      <c r="D870" s="44" t="s">
        <v>123</v>
      </c>
      <c r="E870" s="38" t="s">
        <v>128</v>
      </c>
      <c r="F870" s="40"/>
      <c r="G870" s="40"/>
      <c r="H870" s="45">
        <f>SUM(H871:H873)</f>
        <v>0</v>
      </c>
    </row>
    <row r="871" spans="2:8" x14ac:dyDescent="0.25">
      <c r="B871" s="53"/>
      <c r="C871" s="47"/>
      <c r="D871" s="69"/>
      <c r="E871" s="49"/>
      <c r="F871" s="51"/>
      <c r="G871" s="40"/>
      <c r="H871" s="51">
        <f t="shared" ref="H871:H873" si="75">F871*G871</f>
        <v>0</v>
      </c>
    </row>
    <row r="872" spans="2:8" x14ac:dyDescent="0.25">
      <c r="B872" s="53"/>
      <c r="C872" s="47"/>
      <c r="D872" s="69"/>
      <c r="E872" s="49"/>
      <c r="F872" s="70"/>
      <c r="G872" s="40"/>
      <c r="H872" s="51">
        <f t="shared" si="75"/>
        <v>0</v>
      </c>
    </row>
    <row r="873" spans="2:8" x14ac:dyDescent="0.25">
      <c r="B873" s="79"/>
      <c r="C873" s="47"/>
      <c r="D873" s="69"/>
      <c r="E873" s="49"/>
      <c r="F873" s="51"/>
      <c r="G873" s="40"/>
      <c r="H873" s="51">
        <f t="shared" si="75"/>
        <v>0</v>
      </c>
    </row>
    <row r="874" spans="2:8" x14ac:dyDescent="0.25">
      <c r="B874" s="52" t="s">
        <v>130</v>
      </c>
      <c r="C874" s="192"/>
      <c r="D874" s="192"/>
      <c r="E874" s="192"/>
      <c r="F874" s="192"/>
      <c r="G874" s="192"/>
      <c r="H874" s="192"/>
    </row>
    <row r="877" spans="2:8" ht="15.75" x14ac:dyDescent="0.25">
      <c r="B877" s="201" t="s">
        <v>518</v>
      </c>
      <c r="C877" s="191"/>
      <c r="D877" s="191"/>
      <c r="E877" s="191"/>
      <c r="F877" s="191"/>
      <c r="G877" s="191"/>
      <c r="H877" s="191"/>
    </row>
    <row r="878" spans="2:8" x14ac:dyDescent="0.25">
      <c r="B878" s="38" t="s">
        <v>121</v>
      </c>
      <c r="C878" s="39" t="s">
        <v>122</v>
      </c>
      <c r="D878" s="38" t="s">
        <v>123</v>
      </c>
      <c r="E878" s="38" t="s">
        <v>124</v>
      </c>
      <c r="F878" s="40" t="s">
        <v>125</v>
      </c>
      <c r="G878" s="40" t="s">
        <v>126</v>
      </c>
      <c r="H878" s="41" t="s">
        <v>127</v>
      </c>
    </row>
    <row r="879" spans="2:8" ht="30" x14ac:dyDescent="0.25">
      <c r="B879" s="42" t="s">
        <v>810</v>
      </c>
      <c r="C879" s="43" t="s">
        <v>811</v>
      </c>
      <c r="D879" s="44" t="s">
        <v>123</v>
      </c>
      <c r="E879" s="38" t="s">
        <v>128</v>
      </c>
      <c r="F879" s="40"/>
      <c r="G879" s="40"/>
      <c r="H879" s="45">
        <f>SUM(H880:H888)</f>
        <v>114.00099999999999</v>
      </c>
    </row>
    <row r="880" spans="2:8" x14ac:dyDescent="0.25">
      <c r="B880" s="53" t="s">
        <v>812</v>
      </c>
      <c r="C880" s="47" t="s">
        <v>813</v>
      </c>
      <c r="D880" s="69" t="s">
        <v>143</v>
      </c>
      <c r="E880" s="49" t="s">
        <v>128</v>
      </c>
      <c r="F880" s="70">
        <v>2.2000000000000002</v>
      </c>
      <c r="G880" s="88">
        <v>4.68</v>
      </c>
      <c r="H880" s="51">
        <f t="shared" ref="H880:H888" si="76">F880*G880</f>
        <v>10.295999999999999</v>
      </c>
    </row>
    <row r="881" spans="2:8" x14ac:dyDescent="0.25">
      <c r="B881" s="79" t="s">
        <v>814</v>
      </c>
      <c r="C881" s="47" t="s">
        <v>815</v>
      </c>
      <c r="D881" s="69" t="s">
        <v>123</v>
      </c>
      <c r="E881" s="49" t="s">
        <v>128</v>
      </c>
      <c r="F881" s="51">
        <v>1</v>
      </c>
      <c r="G881" s="88">
        <v>3.03</v>
      </c>
      <c r="H881" s="51">
        <f t="shared" si="76"/>
        <v>3.03</v>
      </c>
    </row>
    <row r="882" spans="2:8" ht="30" x14ac:dyDescent="0.25">
      <c r="B882" s="53" t="s">
        <v>816</v>
      </c>
      <c r="C882" s="47" t="s">
        <v>817</v>
      </c>
      <c r="D882" s="69" t="s">
        <v>143</v>
      </c>
      <c r="E882" s="49" t="s">
        <v>128</v>
      </c>
      <c r="F882" s="51">
        <v>2.2000000000000002</v>
      </c>
      <c r="G882" s="88">
        <v>9.4600000000000009</v>
      </c>
      <c r="H882" s="51">
        <f t="shared" si="76"/>
        <v>20.812000000000005</v>
      </c>
    </row>
    <row r="883" spans="2:8" ht="30" x14ac:dyDescent="0.25">
      <c r="B883" s="53" t="s">
        <v>818</v>
      </c>
      <c r="C883" s="47" t="s">
        <v>819</v>
      </c>
      <c r="D883" s="69" t="s">
        <v>143</v>
      </c>
      <c r="E883" s="49" t="s">
        <v>128</v>
      </c>
      <c r="F883" s="70">
        <v>2</v>
      </c>
      <c r="G883" s="88">
        <v>3.96</v>
      </c>
      <c r="H883" s="51">
        <f t="shared" si="76"/>
        <v>7.92</v>
      </c>
    </row>
    <row r="884" spans="2:8" ht="30" x14ac:dyDescent="0.25">
      <c r="B884" s="79" t="s">
        <v>820</v>
      </c>
      <c r="C884" s="47" t="s">
        <v>821</v>
      </c>
      <c r="D884" s="69" t="s">
        <v>143</v>
      </c>
      <c r="E884" s="49" t="s">
        <v>128</v>
      </c>
      <c r="F884" s="51">
        <v>2.2000000000000002</v>
      </c>
      <c r="G884" s="88">
        <v>5.79</v>
      </c>
      <c r="H884" s="51">
        <f t="shared" si="76"/>
        <v>12.738000000000001</v>
      </c>
    </row>
    <row r="885" spans="2:8" ht="30" x14ac:dyDescent="0.25">
      <c r="B885" s="79" t="s">
        <v>822</v>
      </c>
      <c r="C885" s="47" t="s">
        <v>823</v>
      </c>
      <c r="D885" s="69" t="s">
        <v>143</v>
      </c>
      <c r="E885" s="49" t="s">
        <v>128</v>
      </c>
      <c r="F885" s="51">
        <v>12.6</v>
      </c>
      <c r="G885" s="88">
        <v>1.8</v>
      </c>
      <c r="H885" s="51">
        <f t="shared" si="76"/>
        <v>22.68</v>
      </c>
    </row>
    <row r="886" spans="2:8" x14ac:dyDescent="0.25">
      <c r="B886" s="53" t="s">
        <v>824</v>
      </c>
      <c r="C886" s="47" t="s">
        <v>825</v>
      </c>
      <c r="D886" s="69" t="s">
        <v>123</v>
      </c>
      <c r="E886" s="49" t="s">
        <v>128</v>
      </c>
      <c r="F886" s="70">
        <v>0.375</v>
      </c>
      <c r="G886" s="88">
        <v>7.64</v>
      </c>
      <c r="H886" s="51">
        <f t="shared" si="76"/>
        <v>2.8649999999999998</v>
      </c>
    </row>
    <row r="887" spans="2:8" ht="30" x14ac:dyDescent="0.25">
      <c r="B887" s="53" t="s">
        <v>826</v>
      </c>
      <c r="C887" s="47" t="s">
        <v>827</v>
      </c>
      <c r="D887" s="69" t="s">
        <v>123</v>
      </c>
      <c r="E887" s="49" t="s">
        <v>128</v>
      </c>
      <c r="F887" s="70">
        <v>1</v>
      </c>
      <c r="G887" s="88">
        <v>10.41</v>
      </c>
      <c r="H887" s="51">
        <f t="shared" si="76"/>
        <v>10.41</v>
      </c>
    </row>
    <row r="888" spans="2:8" ht="30" x14ac:dyDescent="0.25">
      <c r="B888" s="79" t="s">
        <v>828</v>
      </c>
      <c r="C888" s="47" t="s">
        <v>829</v>
      </c>
      <c r="D888" s="69" t="s">
        <v>123</v>
      </c>
      <c r="E888" s="49" t="s">
        <v>128</v>
      </c>
      <c r="F888" s="51">
        <v>1</v>
      </c>
      <c r="G888" s="88">
        <v>23.25</v>
      </c>
      <c r="H888" s="51">
        <f t="shared" si="76"/>
        <v>23.25</v>
      </c>
    </row>
    <row r="889" spans="2:8" x14ac:dyDescent="0.25">
      <c r="B889" s="52" t="s">
        <v>130</v>
      </c>
      <c r="C889" s="192" t="s">
        <v>519</v>
      </c>
      <c r="D889" s="192"/>
      <c r="E889" s="192"/>
      <c r="F889" s="192"/>
      <c r="G889" s="192"/>
      <c r="H889" s="192"/>
    </row>
    <row r="892" spans="2:8" ht="15.75" x14ac:dyDescent="0.25">
      <c r="B892" s="201" t="s">
        <v>520</v>
      </c>
      <c r="C892" s="191"/>
      <c r="D892" s="191"/>
      <c r="E892" s="191"/>
      <c r="F892" s="191"/>
      <c r="G892" s="191"/>
      <c r="H892" s="191"/>
    </row>
    <row r="893" spans="2:8" x14ac:dyDescent="0.25">
      <c r="B893" s="38" t="s">
        <v>121</v>
      </c>
      <c r="C893" s="39" t="s">
        <v>122</v>
      </c>
      <c r="D893" s="38" t="s">
        <v>123</v>
      </c>
      <c r="E893" s="38" t="s">
        <v>124</v>
      </c>
      <c r="F893" s="40" t="s">
        <v>125</v>
      </c>
      <c r="G893" s="40" t="s">
        <v>126</v>
      </c>
      <c r="H893" s="41" t="s">
        <v>127</v>
      </c>
    </row>
    <row r="894" spans="2:8" ht="30" x14ac:dyDescent="0.25">
      <c r="B894" s="42" t="s">
        <v>830</v>
      </c>
      <c r="C894" s="43" t="s">
        <v>831</v>
      </c>
      <c r="D894" s="44" t="s">
        <v>123</v>
      </c>
      <c r="E894" s="38" t="s">
        <v>128</v>
      </c>
      <c r="F894" s="40"/>
      <c r="G894" s="40"/>
      <c r="H894" s="45">
        <f>SUM(H897:H904)</f>
        <v>176.79209999999995</v>
      </c>
    </row>
    <row r="895" spans="2:8" x14ac:dyDescent="0.25">
      <c r="B895" s="53" t="s">
        <v>800</v>
      </c>
      <c r="C895" s="47" t="s">
        <v>832</v>
      </c>
      <c r="D895" s="69" t="s">
        <v>138</v>
      </c>
      <c r="E895" s="49" t="s">
        <v>272</v>
      </c>
      <c r="F895" s="51">
        <v>5</v>
      </c>
      <c r="G895" s="88">
        <v>8.24</v>
      </c>
      <c r="H895" s="51">
        <f t="shared" ref="H895:H904" si="77">F895*G895</f>
        <v>41.2</v>
      </c>
    </row>
    <row r="896" spans="2:8" x14ac:dyDescent="0.25">
      <c r="B896" s="53" t="s">
        <v>702</v>
      </c>
      <c r="C896" s="47" t="s">
        <v>703</v>
      </c>
      <c r="D896" s="69" t="s">
        <v>138</v>
      </c>
      <c r="E896" s="49" t="s">
        <v>272</v>
      </c>
      <c r="F896" s="70">
        <v>4</v>
      </c>
      <c r="G896" s="88">
        <v>4.8600000000000003</v>
      </c>
      <c r="H896" s="51">
        <f t="shared" si="77"/>
        <v>19.440000000000001</v>
      </c>
    </row>
    <row r="897" spans="2:8" x14ac:dyDescent="0.25">
      <c r="B897" s="53"/>
      <c r="C897" s="43" t="s">
        <v>155</v>
      </c>
      <c r="D897" s="61" t="s">
        <v>156</v>
      </c>
      <c r="E897" s="38" t="s">
        <v>139</v>
      </c>
      <c r="F897" s="62">
        <v>1.1399999999999999</v>
      </c>
      <c r="G897" s="51"/>
      <c r="H897" s="63">
        <f>(SUM(H895:H896))*(1+F897)</f>
        <v>129.76959999999997</v>
      </c>
    </row>
    <row r="898" spans="2:8" x14ac:dyDescent="0.25">
      <c r="B898" s="53" t="s">
        <v>833</v>
      </c>
      <c r="C898" s="47" t="s">
        <v>834</v>
      </c>
      <c r="D898" s="69" t="s">
        <v>123</v>
      </c>
      <c r="E898" s="49" t="s">
        <v>159</v>
      </c>
      <c r="F898" s="51">
        <v>0.15</v>
      </c>
      <c r="G898" s="88">
        <v>6.95</v>
      </c>
      <c r="H898" s="51">
        <f t="shared" si="77"/>
        <v>1.0425</v>
      </c>
    </row>
    <row r="899" spans="2:8" ht="30" x14ac:dyDescent="0.25">
      <c r="B899" s="53" t="s">
        <v>835</v>
      </c>
      <c r="C899" s="47" t="s">
        <v>836</v>
      </c>
      <c r="D899" s="69" t="s">
        <v>143</v>
      </c>
      <c r="E899" s="49" t="s">
        <v>159</v>
      </c>
      <c r="F899" s="70">
        <v>18</v>
      </c>
      <c r="G899" s="88">
        <v>1.17</v>
      </c>
      <c r="H899" s="51">
        <f t="shared" si="77"/>
        <v>21.06</v>
      </c>
    </row>
    <row r="900" spans="2:8" x14ac:dyDescent="0.25">
      <c r="B900" s="53" t="s">
        <v>837</v>
      </c>
      <c r="C900" s="47" t="s">
        <v>838</v>
      </c>
      <c r="D900" s="69" t="s">
        <v>123</v>
      </c>
      <c r="E900" s="49" t="s">
        <v>159</v>
      </c>
      <c r="F900" s="57">
        <v>0.5</v>
      </c>
      <c r="G900" s="88">
        <v>12.2</v>
      </c>
      <c r="H900" s="51">
        <f t="shared" si="77"/>
        <v>6.1</v>
      </c>
    </row>
    <row r="901" spans="2:8" x14ac:dyDescent="0.25">
      <c r="B901" s="53" t="s">
        <v>839</v>
      </c>
      <c r="C901" s="47" t="s">
        <v>840</v>
      </c>
      <c r="D901" s="69" t="s">
        <v>143</v>
      </c>
      <c r="E901" s="49" t="s">
        <v>159</v>
      </c>
      <c r="F901" s="70">
        <v>6</v>
      </c>
      <c r="G901" s="57">
        <v>2</v>
      </c>
      <c r="H901" s="51">
        <f t="shared" si="77"/>
        <v>12</v>
      </c>
    </row>
    <row r="902" spans="2:8" x14ac:dyDescent="0.25">
      <c r="B902" s="53" t="s">
        <v>841</v>
      </c>
      <c r="C902" s="47" t="s">
        <v>842</v>
      </c>
      <c r="D902" s="69" t="s">
        <v>123</v>
      </c>
      <c r="E902" s="49" t="s">
        <v>159</v>
      </c>
      <c r="F902" s="57">
        <v>0.5</v>
      </c>
      <c r="G902" s="88">
        <v>12.2</v>
      </c>
      <c r="H902" s="51">
        <f t="shared" si="77"/>
        <v>6.1</v>
      </c>
    </row>
    <row r="903" spans="2:8" x14ac:dyDescent="0.25">
      <c r="B903" s="53" t="s">
        <v>785</v>
      </c>
      <c r="C903" s="47" t="s">
        <v>786</v>
      </c>
      <c r="D903" s="69" t="s">
        <v>123</v>
      </c>
      <c r="E903" s="49" t="s">
        <v>159</v>
      </c>
      <c r="F903" s="70">
        <v>4</v>
      </c>
      <c r="G903" s="88">
        <v>0.06</v>
      </c>
      <c r="H903" s="51">
        <f t="shared" si="77"/>
        <v>0.24</v>
      </c>
    </row>
    <row r="904" spans="2:8" x14ac:dyDescent="0.25">
      <c r="B904" s="79" t="s">
        <v>843</v>
      </c>
      <c r="C904" s="47" t="s">
        <v>844</v>
      </c>
      <c r="D904" s="69" t="s">
        <v>123</v>
      </c>
      <c r="E904" s="49" t="s">
        <v>159</v>
      </c>
      <c r="F904" s="51">
        <v>4</v>
      </c>
      <c r="G904" s="93">
        <v>0.12</v>
      </c>
      <c r="H904" s="51">
        <f t="shared" si="77"/>
        <v>0.48</v>
      </c>
    </row>
    <row r="905" spans="2:8" x14ac:dyDescent="0.25">
      <c r="B905" s="52" t="s">
        <v>130</v>
      </c>
      <c r="C905" s="192" t="s">
        <v>982</v>
      </c>
      <c r="D905" s="192"/>
      <c r="E905" s="192"/>
      <c r="F905" s="192"/>
      <c r="G905" s="192"/>
      <c r="H905" s="192"/>
    </row>
    <row r="908" spans="2:8" ht="15.75" x14ac:dyDescent="0.25">
      <c r="B908" s="201" t="s">
        <v>521</v>
      </c>
      <c r="C908" s="191"/>
      <c r="D908" s="191"/>
      <c r="E908" s="191"/>
      <c r="F908" s="191"/>
      <c r="G908" s="191"/>
      <c r="H908" s="191"/>
    </row>
    <row r="909" spans="2:8" x14ac:dyDescent="0.25">
      <c r="B909" s="38" t="s">
        <v>121</v>
      </c>
      <c r="C909" s="39" t="s">
        <v>122</v>
      </c>
      <c r="D909" s="38" t="s">
        <v>123</v>
      </c>
      <c r="E909" s="38" t="s">
        <v>124</v>
      </c>
      <c r="F909" s="40" t="s">
        <v>125</v>
      </c>
      <c r="G909" s="40" t="s">
        <v>126</v>
      </c>
      <c r="H909" s="41" t="s">
        <v>127</v>
      </c>
    </row>
    <row r="910" spans="2:8" x14ac:dyDescent="0.25">
      <c r="B910" s="42" t="s">
        <v>845</v>
      </c>
      <c r="C910" s="43" t="s">
        <v>846</v>
      </c>
      <c r="D910" s="44" t="s">
        <v>123</v>
      </c>
      <c r="E910" s="38" t="s">
        <v>128</v>
      </c>
      <c r="F910" s="40"/>
      <c r="G910" s="40"/>
      <c r="H910" s="45">
        <f>SUM(H913:H919)</f>
        <v>156.05849999999998</v>
      </c>
    </row>
    <row r="911" spans="2:8" x14ac:dyDescent="0.25">
      <c r="B911" s="53" t="s">
        <v>800</v>
      </c>
      <c r="C911" s="47" t="s">
        <v>832</v>
      </c>
      <c r="D911" s="69" t="s">
        <v>138</v>
      </c>
      <c r="E911" s="49" t="s">
        <v>272</v>
      </c>
      <c r="F911" s="51">
        <v>4</v>
      </c>
      <c r="G911" s="88">
        <v>8.24</v>
      </c>
      <c r="H911" s="51">
        <f t="shared" ref="H911:H919" si="78">F911*G911</f>
        <v>32.96</v>
      </c>
    </row>
    <row r="912" spans="2:8" x14ac:dyDescent="0.25">
      <c r="B912" s="53" t="s">
        <v>684</v>
      </c>
      <c r="C912" s="47" t="s">
        <v>703</v>
      </c>
      <c r="D912" s="69" t="s">
        <v>138</v>
      </c>
      <c r="E912" s="49" t="s">
        <v>272</v>
      </c>
      <c r="F912" s="70">
        <v>4</v>
      </c>
      <c r="G912" s="88">
        <v>4.8600000000000003</v>
      </c>
      <c r="H912" s="51">
        <f t="shared" si="78"/>
        <v>19.440000000000001</v>
      </c>
    </row>
    <row r="913" spans="2:8" x14ac:dyDescent="0.25">
      <c r="B913" s="53"/>
      <c r="C913" s="43" t="s">
        <v>155</v>
      </c>
      <c r="D913" s="61" t="s">
        <v>156</v>
      </c>
      <c r="E913" s="38" t="s">
        <v>139</v>
      </c>
      <c r="F913" s="62">
        <v>1.1399999999999999</v>
      </c>
      <c r="G913" s="51"/>
      <c r="H913" s="63">
        <f>(SUM(H911:H912))*(1+F913)</f>
        <v>112.136</v>
      </c>
    </row>
    <row r="914" spans="2:8" x14ac:dyDescent="0.25">
      <c r="B914" s="79" t="s">
        <v>848</v>
      </c>
      <c r="C914" s="47" t="s">
        <v>849</v>
      </c>
      <c r="D914" s="69" t="s">
        <v>143</v>
      </c>
      <c r="E914" s="49" t="s">
        <v>159</v>
      </c>
      <c r="F914" s="51">
        <v>6</v>
      </c>
      <c r="G914" s="88">
        <v>1.51</v>
      </c>
      <c r="H914" s="51">
        <f t="shared" si="78"/>
        <v>9.06</v>
      </c>
    </row>
    <row r="915" spans="2:8" x14ac:dyDescent="0.25">
      <c r="B915" s="79" t="s">
        <v>684</v>
      </c>
      <c r="C915" s="47" t="s">
        <v>685</v>
      </c>
      <c r="D915" s="69" t="s">
        <v>168</v>
      </c>
      <c r="E915" s="49" t="s">
        <v>159</v>
      </c>
      <c r="F915" s="70">
        <v>0.02</v>
      </c>
      <c r="G915" s="51">
        <v>12</v>
      </c>
      <c r="H915" s="51">
        <f t="shared" si="78"/>
        <v>0.24</v>
      </c>
    </row>
    <row r="916" spans="2:8" x14ac:dyDescent="0.25">
      <c r="B916" s="79" t="s">
        <v>848</v>
      </c>
      <c r="C916" s="47" t="s">
        <v>850</v>
      </c>
      <c r="D916" s="69" t="s">
        <v>123</v>
      </c>
      <c r="E916" s="49" t="s">
        <v>159</v>
      </c>
      <c r="F916" s="51">
        <v>1</v>
      </c>
      <c r="G916" s="88">
        <v>1.51</v>
      </c>
      <c r="H916" s="51">
        <f t="shared" si="78"/>
        <v>1.51</v>
      </c>
    </row>
    <row r="917" spans="2:8" x14ac:dyDescent="0.25">
      <c r="B917" s="79" t="s">
        <v>833</v>
      </c>
      <c r="C917" s="47" t="s">
        <v>834</v>
      </c>
      <c r="D917" s="69" t="s">
        <v>123</v>
      </c>
      <c r="E917" s="49" t="s">
        <v>159</v>
      </c>
      <c r="F917" s="51">
        <v>0.15</v>
      </c>
      <c r="G917" s="88">
        <v>6.95</v>
      </c>
      <c r="H917" s="51">
        <f t="shared" si="78"/>
        <v>1.0425</v>
      </c>
    </row>
    <row r="918" spans="2:8" x14ac:dyDescent="0.25">
      <c r="B918" s="53" t="s">
        <v>851</v>
      </c>
      <c r="C918" s="47" t="s">
        <v>852</v>
      </c>
      <c r="D918" s="69" t="s">
        <v>123</v>
      </c>
      <c r="E918" s="49" t="s">
        <v>159</v>
      </c>
      <c r="F918" s="70">
        <v>1</v>
      </c>
      <c r="G918" s="88">
        <v>18.93</v>
      </c>
      <c r="H918" s="51">
        <f t="shared" si="78"/>
        <v>18.93</v>
      </c>
    </row>
    <row r="919" spans="2:8" ht="30" x14ac:dyDescent="0.25">
      <c r="B919" s="79" t="s">
        <v>853</v>
      </c>
      <c r="C919" s="47" t="s">
        <v>854</v>
      </c>
      <c r="D919" s="69" t="s">
        <v>143</v>
      </c>
      <c r="E919" s="49" t="s">
        <v>159</v>
      </c>
      <c r="F919" s="51">
        <v>18</v>
      </c>
      <c r="G919" s="88">
        <v>0.73</v>
      </c>
      <c r="H919" s="51">
        <f t="shared" si="78"/>
        <v>13.14</v>
      </c>
    </row>
    <row r="920" spans="2:8" x14ac:dyDescent="0.25">
      <c r="B920" s="52" t="s">
        <v>130</v>
      </c>
      <c r="C920" s="192" t="s">
        <v>321</v>
      </c>
      <c r="D920" s="192"/>
      <c r="E920" s="192"/>
      <c r="F920" s="192"/>
      <c r="G920" s="192"/>
      <c r="H920" s="192"/>
    </row>
    <row r="923" spans="2:8" ht="15.75" customHeight="1" x14ac:dyDescent="0.25">
      <c r="B923" s="201" t="s">
        <v>522</v>
      </c>
      <c r="C923" s="191"/>
      <c r="D923" s="191"/>
      <c r="E923" s="191"/>
      <c r="F923" s="191"/>
      <c r="G923" s="191"/>
      <c r="H923" s="191"/>
    </row>
    <row r="924" spans="2:8" x14ac:dyDescent="0.25">
      <c r="B924" s="38" t="s">
        <v>121</v>
      </c>
      <c r="C924" s="39" t="s">
        <v>122</v>
      </c>
      <c r="D924" s="38" t="s">
        <v>123</v>
      </c>
      <c r="E924" s="38" t="s">
        <v>124</v>
      </c>
      <c r="F924" s="40" t="s">
        <v>125</v>
      </c>
      <c r="G924" s="40" t="s">
        <v>126</v>
      </c>
      <c r="H924" s="41" t="s">
        <v>127</v>
      </c>
    </row>
    <row r="925" spans="2:8" ht="30" x14ac:dyDescent="0.25">
      <c r="B925" s="42" t="s">
        <v>855</v>
      </c>
      <c r="C925" s="43" t="s">
        <v>856</v>
      </c>
      <c r="D925" s="44" t="s">
        <v>123</v>
      </c>
      <c r="E925" s="38" t="s">
        <v>128</v>
      </c>
      <c r="F925" s="40"/>
      <c r="G925" s="40"/>
      <c r="H925" s="45">
        <f>SUM(H929:H931)</f>
        <v>237.02162000000001</v>
      </c>
    </row>
    <row r="926" spans="2:8" x14ac:dyDescent="0.25">
      <c r="B926" s="53" t="s">
        <v>800</v>
      </c>
      <c r="C926" s="47" t="s">
        <v>832</v>
      </c>
      <c r="D926" s="69" t="s">
        <v>138</v>
      </c>
      <c r="E926" s="49" t="s">
        <v>272</v>
      </c>
      <c r="F926" s="51">
        <v>1.4</v>
      </c>
      <c r="G926" s="88">
        <v>8.24</v>
      </c>
      <c r="H926" s="51">
        <f t="shared" ref="H926:H931" si="79">F926*G926</f>
        <v>11.536</v>
      </c>
    </row>
    <row r="927" spans="2:8" x14ac:dyDescent="0.25">
      <c r="B927" s="53" t="s">
        <v>701</v>
      </c>
      <c r="C927" s="47" t="s">
        <v>735</v>
      </c>
      <c r="D927" s="69" t="s">
        <v>138</v>
      </c>
      <c r="E927" s="49" t="s">
        <v>272</v>
      </c>
      <c r="F927" s="51">
        <v>0.6</v>
      </c>
      <c r="G927" s="88">
        <v>8.24</v>
      </c>
      <c r="H927" s="51">
        <f t="shared" si="79"/>
        <v>4.944</v>
      </c>
    </row>
    <row r="928" spans="2:8" x14ac:dyDescent="0.25">
      <c r="B928" s="53" t="s">
        <v>702</v>
      </c>
      <c r="C928" s="47" t="s">
        <v>703</v>
      </c>
      <c r="D928" s="69" t="s">
        <v>138</v>
      </c>
      <c r="E928" s="49" t="s">
        <v>272</v>
      </c>
      <c r="F928" s="70">
        <v>0.9</v>
      </c>
      <c r="G928" s="88">
        <v>4.8600000000000003</v>
      </c>
      <c r="H928" s="51">
        <f t="shared" si="79"/>
        <v>4.3740000000000006</v>
      </c>
    </row>
    <row r="929" spans="2:8" x14ac:dyDescent="0.25">
      <c r="B929" s="53"/>
      <c r="C929" s="43" t="s">
        <v>155</v>
      </c>
      <c r="D929" s="61" t="s">
        <v>156</v>
      </c>
      <c r="E929" s="38" t="s">
        <v>139</v>
      </c>
      <c r="F929" s="62">
        <v>1.1399999999999999</v>
      </c>
      <c r="G929" s="51"/>
      <c r="H929" s="63">
        <f>(SUM(H926:H928))*(1+F929)</f>
        <v>44.627559999999988</v>
      </c>
    </row>
    <row r="930" spans="2:8" ht="45" x14ac:dyDescent="0.25">
      <c r="B930" s="79" t="s">
        <v>984</v>
      </c>
      <c r="C930" s="47" t="s">
        <v>983</v>
      </c>
      <c r="D930" s="69" t="s">
        <v>123</v>
      </c>
      <c r="E930" s="49" t="s">
        <v>159</v>
      </c>
      <c r="F930" s="70">
        <v>1</v>
      </c>
      <c r="G930" s="88">
        <v>188.55</v>
      </c>
      <c r="H930" s="51">
        <f t="shared" si="79"/>
        <v>188.55</v>
      </c>
    </row>
    <row r="931" spans="2:8" ht="45" x14ac:dyDescent="0.25">
      <c r="B931" s="79" t="s">
        <v>857</v>
      </c>
      <c r="C931" s="47" t="s">
        <v>858</v>
      </c>
      <c r="D931" s="69" t="s">
        <v>135</v>
      </c>
      <c r="E931" s="49" t="s">
        <v>159</v>
      </c>
      <c r="F931" s="70">
        <v>1.0999999999999999E-2</v>
      </c>
      <c r="G931" s="93">
        <v>349.46</v>
      </c>
      <c r="H931" s="51">
        <f t="shared" si="79"/>
        <v>3.8440599999999994</v>
      </c>
    </row>
    <row r="932" spans="2:8" x14ac:dyDescent="0.25">
      <c r="B932" s="52" t="s">
        <v>130</v>
      </c>
      <c r="C932" s="192" t="s">
        <v>321</v>
      </c>
      <c r="D932" s="192"/>
      <c r="E932" s="192"/>
      <c r="F932" s="192"/>
      <c r="G932" s="192"/>
      <c r="H932" s="192"/>
    </row>
    <row r="935" spans="2:8" ht="15.75" x14ac:dyDescent="0.25">
      <c r="B935" s="201" t="s">
        <v>523</v>
      </c>
      <c r="C935" s="191"/>
      <c r="D935" s="191"/>
      <c r="E935" s="191"/>
      <c r="F935" s="191"/>
      <c r="G935" s="191"/>
      <c r="H935" s="191"/>
    </row>
    <row r="936" spans="2:8" x14ac:dyDescent="0.25">
      <c r="B936" s="38" t="s">
        <v>121</v>
      </c>
      <c r="C936" s="39" t="s">
        <v>122</v>
      </c>
      <c r="D936" s="38" t="s">
        <v>123</v>
      </c>
      <c r="E936" s="38" t="s">
        <v>124</v>
      </c>
      <c r="F936" s="40" t="s">
        <v>125</v>
      </c>
      <c r="G936" s="40" t="s">
        <v>126</v>
      </c>
      <c r="H936" s="41" t="s">
        <v>127</v>
      </c>
    </row>
    <row r="937" spans="2:8" ht="30" x14ac:dyDescent="0.25">
      <c r="B937" s="42" t="s">
        <v>859</v>
      </c>
      <c r="C937" s="43" t="s">
        <v>860</v>
      </c>
      <c r="D937" s="44" t="s">
        <v>123</v>
      </c>
      <c r="E937" s="38" t="s">
        <v>128</v>
      </c>
      <c r="F937" s="40"/>
      <c r="G937" s="40"/>
      <c r="H937" s="45">
        <f>SUM(H940:H942)</f>
        <v>4581.8829220000007</v>
      </c>
    </row>
    <row r="938" spans="2:8" x14ac:dyDescent="0.25">
      <c r="B938" s="53" t="s">
        <v>701</v>
      </c>
      <c r="C938" s="47" t="s">
        <v>153</v>
      </c>
      <c r="D938" s="69" t="s">
        <v>138</v>
      </c>
      <c r="E938" s="49" t="s">
        <v>272</v>
      </c>
      <c r="F938" s="51">
        <v>5</v>
      </c>
      <c r="G938" s="88">
        <v>8.24</v>
      </c>
      <c r="H938" s="51">
        <f t="shared" ref="H938:H942" si="80">F938*G938</f>
        <v>41.2</v>
      </c>
    </row>
    <row r="939" spans="2:8" x14ac:dyDescent="0.25">
      <c r="B939" s="53" t="s">
        <v>702</v>
      </c>
      <c r="C939" s="47" t="s">
        <v>703</v>
      </c>
      <c r="D939" s="69" t="s">
        <v>138</v>
      </c>
      <c r="E939" s="49" t="s">
        <v>272</v>
      </c>
      <c r="F939" s="51">
        <v>5</v>
      </c>
      <c r="G939" s="88">
        <v>4.8600000000000003</v>
      </c>
      <c r="H939" s="51">
        <f t="shared" si="80"/>
        <v>24.3</v>
      </c>
    </row>
    <row r="940" spans="2:8" x14ac:dyDescent="0.25">
      <c r="B940" s="53"/>
      <c r="C940" s="43" t="s">
        <v>155</v>
      </c>
      <c r="D940" s="61" t="s">
        <v>156</v>
      </c>
      <c r="E940" s="38" t="s">
        <v>139</v>
      </c>
      <c r="F940" s="62">
        <v>1.1399999999999999</v>
      </c>
      <c r="G940" s="51"/>
      <c r="H940" s="63">
        <f>(SUM(H938:H939))*(1+F940)</f>
        <v>140.16999999999999</v>
      </c>
    </row>
    <row r="941" spans="2:8" ht="30" x14ac:dyDescent="0.25">
      <c r="B941" s="53" t="s">
        <v>861</v>
      </c>
      <c r="C941" s="47" t="s">
        <v>860</v>
      </c>
      <c r="D941" s="69" t="s">
        <v>123</v>
      </c>
      <c r="E941" s="49" t="s">
        <v>159</v>
      </c>
      <c r="F941" s="70">
        <v>1</v>
      </c>
      <c r="G941" s="114">
        <v>4429.68</v>
      </c>
      <c r="H941" s="51">
        <f t="shared" si="80"/>
        <v>4429.68</v>
      </c>
    </row>
    <row r="942" spans="2:8" ht="30" x14ac:dyDescent="0.25">
      <c r="B942" s="79" t="s">
        <v>862</v>
      </c>
      <c r="C942" s="47" t="s">
        <v>863</v>
      </c>
      <c r="D942" s="69" t="s">
        <v>135</v>
      </c>
      <c r="E942" s="49" t="s">
        <v>159</v>
      </c>
      <c r="F942" s="71">
        <v>3.3700000000000001E-2</v>
      </c>
      <c r="G942" s="82">
        <v>357.06</v>
      </c>
      <c r="H942" s="51">
        <f t="shared" si="80"/>
        <v>12.032922000000001</v>
      </c>
    </row>
    <row r="943" spans="2:8" x14ac:dyDescent="0.25">
      <c r="B943" s="52" t="s">
        <v>130</v>
      </c>
      <c r="C943" s="192" t="s">
        <v>321</v>
      </c>
      <c r="D943" s="192"/>
      <c r="E943" s="192"/>
      <c r="F943" s="192"/>
      <c r="G943" s="192"/>
      <c r="H943" s="192"/>
    </row>
    <row r="946" spans="2:8" ht="15.75" x14ac:dyDescent="0.25">
      <c r="B946" s="201" t="s">
        <v>524</v>
      </c>
      <c r="C946" s="191"/>
      <c r="D946" s="191"/>
      <c r="E946" s="191"/>
      <c r="F946" s="191"/>
      <c r="G946" s="191"/>
      <c r="H946" s="191"/>
    </row>
    <row r="947" spans="2:8" x14ac:dyDescent="0.25">
      <c r="B947" s="38" t="s">
        <v>121</v>
      </c>
      <c r="C947" s="39" t="s">
        <v>122</v>
      </c>
      <c r="D947" s="38" t="s">
        <v>123</v>
      </c>
      <c r="E947" s="38" t="s">
        <v>124</v>
      </c>
      <c r="F947" s="40" t="s">
        <v>125</v>
      </c>
      <c r="G947" s="40" t="s">
        <v>126</v>
      </c>
      <c r="H947" s="41" t="s">
        <v>127</v>
      </c>
    </row>
    <row r="948" spans="2:8" ht="30" x14ac:dyDescent="0.25">
      <c r="B948" s="42" t="s">
        <v>864</v>
      </c>
      <c r="C948" s="43" t="s">
        <v>865</v>
      </c>
      <c r="D948" s="44" t="s">
        <v>123</v>
      </c>
      <c r="E948" s="38" t="s">
        <v>128</v>
      </c>
      <c r="F948" s="40"/>
      <c r="G948" s="40"/>
      <c r="H948" s="45">
        <f>SUM(H951:H962)</f>
        <v>375.38883097999997</v>
      </c>
    </row>
    <row r="949" spans="2:8" x14ac:dyDescent="0.25">
      <c r="B949" s="79" t="s">
        <v>866</v>
      </c>
      <c r="C949" s="47" t="s">
        <v>985</v>
      </c>
      <c r="D949" s="69" t="s">
        <v>138</v>
      </c>
      <c r="E949" s="49" t="s">
        <v>272</v>
      </c>
      <c r="F949" s="71">
        <v>4.8960999999999997</v>
      </c>
      <c r="G949" s="88">
        <v>5.13</v>
      </c>
      <c r="H949" s="51">
        <f t="shared" ref="H949:H962" si="81">F949*G949</f>
        <v>25.116992999999997</v>
      </c>
    </row>
    <row r="950" spans="2:8" x14ac:dyDescent="0.25">
      <c r="B950" s="53" t="s">
        <v>867</v>
      </c>
      <c r="C950" s="47" t="s">
        <v>986</v>
      </c>
      <c r="D950" s="69" t="s">
        <v>138</v>
      </c>
      <c r="E950" s="49" t="s">
        <v>272</v>
      </c>
      <c r="F950" s="71">
        <v>4.8960999999999997</v>
      </c>
      <c r="G950" s="88">
        <v>8.24</v>
      </c>
      <c r="H950" s="51">
        <f t="shared" si="81"/>
        <v>40.343863999999996</v>
      </c>
    </row>
    <row r="951" spans="2:8" x14ac:dyDescent="0.25">
      <c r="B951" s="53"/>
      <c r="C951" s="43" t="s">
        <v>155</v>
      </c>
      <c r="D951" s="61" t="s">
        <v>156</v>
      </c>
      <c r="E951" s="38" t="s">
        <v>139</v>
      </c>
      <c r="F951" s="62">
        <v>1.1399999999999999</v>
      </c>
      <c r="G951" s="51"/>
      <c r="H951" s="63">
        <f>(SUM(H949:H950))*(1+F951)</f>
        <v>140.08623397999995</v>
      </c>
    </row>
    <row r="952" spans="2:8" x14ac:dyDescent="0.25">
      <c r="B952" s="53" t="s">
        <v>868</v>
      </c>
      <c r="C952" s="47" t="s">
        <v>869</v>
      </c>
      <c r="D952" s="69" t="s">
        <v>123</v>
      </c>
      <c r="E952" s="49" t="s">
        <v>159</v>
      </c>
      <c r="F952" s="70">
        <v>8</v>
      </c>
      <c r="G952" s="88">
        <v>0.59</v>
      </c>
      <c r="H952" s="51">
        <f t="shared" si="81"/>
        <v>4.72</v>
      </c>
    </row>
    <row r="953" spans="2:8" x14ac:dyDescent="0.25">
      <c r="B953" s="79" t="s">
        <v>870</v>
      </c>
      <c r="C953" s="47" t="s">
        <v>871</v>
      </c>
      <c r="D953" s="69" t="s">
        <v>123</v>
      </c>
      <c r="E953" s="49" t="s">
        <v>159</v>
      </c>
      <c r="F953" s="51">
        <v>4</v>
      </c>
      <c r="G953" s="88">
        <v>2.79</v>
      </c>
      <c r="H953" s="51">
        <f t="shared" si="81"/>
        <v>11.16</v>
      </c>
    </row>
    <row r="954" spans="2:8" x14ac:dyDescent="0.25">
      <c r="B954" s="79" t="s">
        <v>872</v>
      </c>
      <c r="C954" s="47" t="s">
        <v>873</v>
      </c>
      <c r="D954" s="69" t="s">
        <v>123</v>
      </c>
      <c r="E954" s="49" t="s">
        <v>159</v>
      </c>
      <c r="F954" s="51">
        <v>8</v>
      </c>
      <c r="G954" s="88">
        <v>0.49</v>
      </c>
      <c r="H954" s="51">
        <f t="shared" si="81"/>
        <v>3.92</v>
      </c>
    </row>
    <row r="955" spans="2:8" x14ac:dyDescent="0.25">
      <c r="B955" s="53" t="s">
        <v>874</v>
      </c>
      <c r="C955" s="47" t="s">
        <v>875</v>
      </c>
      <c r="D955" s="69" t="s">
        <v>123</v>
      </c>
      <c r="E955" s="49" t="s">
        <v>159</v>
      </c>
      <c r="F955" s="51">
        <v>2</v>
      </c>
      <c r="G955" s="88">
        <v>3.76</v>
      </c>
      <c r="H955" s="51">
        <f t="shared" si="81"/>
        <v>7.52</v>
      </c>
    </row>
    <row r="956" spans="2:8" x14ac:dyDescent="0.25">
      <c r="B956" s="53" t="s">
        <v>876</v>
      </c>
      <c r="C956" s="47" t="s">
        <v>877</v>
      </c>
      <c r="D956" s="69" t="s">
        <v>123</v>
      </c>
      <c r="E956" s="49" t="s">
        <v>159</v>
      </c>
      <c r="F956" s="70">
        <v>4</v>
      </c>
      <c r="G956" s="88">
        <v>24.62</v>
      </c>
      <c r="H956" s="51">
        <f t="shared" si="81"/>
        <v>98.48</v>
      </c>
    </row>
    <row r="957" spans="2:8" x14ac:dyDescent="0.25">
      <c r="B957" s="79" t="s">
        <v>878</v>
      </c>
      <c r="C957" s="47" t="s">
        <v>879</v>
      </c>
      <c r="D957" s="69" t="s">
        <v>123</v>
      </c>
      <c r="E957" s="49" t="s">
        <v>159</v>
      </c>
      <c r="F957" s="51">
        <v>3</v>
      </c>
      <c r="G957" s="88">
        <v>6.77</v>
      </c>
      <c r="H957" s="51">
        <f t="shared" si="81"/>
        <v>20.309999999999999</v>
      </c>
    </row>
    <row r="958" spans="2:8" x14ac:dyDescent="0.25">
      <c r="B958" s="53" t="s">
        <v>880</v>
      </c>
      <c r="C958" s="47" t="s">
        <v>881</v>
      </c>
      <c r="D958" s="69" t="s">
        <v>143</v>
      </c>
      <c r="E958" s="49" t="s">
        <v>159</v>
      </c>
      <c r="F958" s="71">
        <v>11.9945</v>
      </c>
      <c r="G958" s="88">
        <v>2.4900000000000002</v>
      </c>
      <c r="H958" s="51">
        <f t="shared" si="81"/>
        <v>29.866305000000004</v>
      </c>
    </row>
    <row r="959" spans="2:8" x14ac:dyDescent="0.25">
      <c r="B959" s="79" t="s">
        <v>882</v>
      </c>
      <c r="C959" s="47" t="s">
        <v>883</v>
      </c>
      <c r="D959" s="69" t="s">
        <v>143</v>
      </c>
      <c r="E959" s="49" t="s">
        <v>159</v>
      </c>
      <c r="F959" s="71">
        <v>1.3798999999999999</v>
      </c>
      <c r="G959" s="88">
        <v>9.32</v>
      </c>
      <c r="H959" s="51">
        <f t="shared" si="81"/>
        <v>12.860667999999999</v>
      </c>
    </row>
    <row r="960" spans="2:8" x14ac:dyDescent="0.25">
      <c r="B960" s="53" t="s">
        <v>884</v>
      </c>
      <c r="C960" s="47" t="s">
        <v>885</v>
      </c>
      <c r="D960" s="69" t="s">
        <v>123</v>
      </c>
      <c r="E960" s="49" t="s">
        <v>159</v>
      </c>
      <c r="F960" s="71">
        <v>1.6533</v>
      </c>
      <c r="G960" s="88">
        <v>15.88</v>
      </c>
      <c r="H960" s="51">
        <f t="shared" si="81"/>
        <v>26.254404000000001</v>
      </c>
    </row>
    <row r="961" spans="2:8" x14ac:dyDescent="0.25">
      <c r="B961" s="53" t="s">
        <v>886</v>
      </c>
      <c r="C961" s="47" t="s">
        <v>887</v>
      </c>
      <c r="D961" s="69" t="s">
        <v>123</v>
      </c>
      <c r="E961" s="49" t="s">
        <v>159</v>
      </c>
      <c r="F961" s="71">
        <v>0.40699999999999997</v>
      </c>
      <c r="G961" s="88">
        <v>43.46</v>
      </c>
      <c r="H961" s="51">
        <f t="shared" si="81"/>
        <v>17.688219999999998</v>
      </c>
    </row>
    <row r="962" spans="2:8" x14ac:dyDescent="0.25">
      <c r="B962" s="79" t="s">
        <v>888</v>
      </c>
      <c r="C962" s="47" t="s">
        <v>889</v>
      </c>
      <c r="D962" s="69" t="s">
        <v>123</v>
      </c>
      <c r="E962" s="49" t="s">
        <v>159</v>
      </c>
      <c r="F962" s="71">
        <v>1.6819999999999999</v>
      </c>
      <c r="G962" s="88">
        <v>1.5</v>
      </c>
      <c r="H962" s="51">
        <f t="shared" si="81"/>
        <v>2.5229999999999997</v>
      </c>
    </row>
    <row r="963" spans="2:8" x14ac:dyDescent="0.25">
      <c r="B963" s="52" t="s">
        <v>130</v>
      </c>
      <c r="C963" s="192" t="s">
        <v>519</v>
      </c>
      <c r="D963" s="192"/>
      <c r="E963" s="192"/>
      <c r="F963" s="192"/>
      <c r="G963" s="192"/>
      <c r="H963" s="192"/>
    </row>
    <row r="966" spans="2:8" ht="15.75" x14ac:dyDescent="0.25">
      <c r="B966" s="201" t="s">
        <v>525</v>
      </c>
      <c r="C966" s="191"/>
      <c r="D966" s="191"/>
      <c r="E966" s="191"/>
      <c r="F966" s="191"/>
      <c r="G966" s="191"/>
      <c r="H966" s="191"/>
    </row>
    <row r="967" spans="2:8" x14ac:dyDescent="0.25">
      <c r="B967" s="38" t="s">
        <v>121</v>
      </c>
      <c r="C967" s="39" t="s">
        <v>122</v>
      </c>
      <c r="D967" s="38" t="s">
        <v>123</v>
      </c>
      <c r="E967" s="38" t="s">
        <v>124</v>
      </c>
      <c r="F967" s="40" t="s">
        <v>125</v>
      </c>
      <c r="G967" s="40" t="s">
        <v>126</v>
      </c>
      <c r="H967" s="41" t="s">
        <v>127</v>
      </c>
    </row>
    <row r="968" spans="2:8" ht="30" x14ac:dyDescent="0.25">
      <c r="B968" s="42" t="s">
        <v>890</v>
      </c>
      <c r="C968" s="43" t="s">
        <v>891</v>
      </c>
      <c r="D968" s="44" t="s">
        <v>123</v>
      </c>
      <c r="E968" s="38" t="s">
        <v>128</v>
      </c>
      <c r="F968" s="40"/>
      <c r="G968" s="40"/>
      <c r="H968" s="45">
        <f>SUM(H971:H978)</f>
        <v>42.832260000000005</v>
      </c>
    </row>
    <row r="969" spans="2:8" x14ac:dyDescent="0.25">
      <c r="B969" s="79" t="s">
        <v>763</v>
      </c>
      <c r="C969" s="47" t="s">
        <v>764</v>
      </c>
      <c r="D969" s="69" t="s">
        <v>138</v>
      </c>
      <c r="E969" s="49" t="s">
        <v>272</v>
      </c>
      <c r="F969" s="51">
        <v>0.65</v>
      </c>
      <c r="G969" s="88">
        <v>8.24</v>
      </c>
      <c r="H969" s="51">
        <f t="shared" ref="H969:H978" si="82">F969*G969</f>
        <v>5.3560000000000008</v>
      </c>
    </row>
    <row r="970" spans="2:8" x14ac:dyDescent="0.25">
      <c r="B970" s="53" t="s">
        <v>702</v>
      </c>
      <c r="C970" s="47" t="s">
        <v>703</v>
      </c>
      <c r="D970" s="69" t="s">
        <v>138</v>
      </c>
      <c r="E970" s="49" t="s">
        <v>272</v>
      </c>
      <c r="F970" s="51">
        <v>0.65</v>
      </c>
      <c r="G970" s="88">
        <v>4.8600000000000003</v>
      </c>
      <c r="H970" s="51">
        <f t="shared" si="82"/>
        <v>3.1590000000000003</v>
      </c>
    </row>
    <row r="971" spans="2:8" x14ac:dyDescent="0.25">
      <c r="B971" s="53"/>
      <c r="C971" s="43" t="s">
        <v>155</v>
      </c>
      <c r="D971" s="61" t="s">
        <v>156</v>
      </c>
      <c r="E971" s="38" t="s">
        <v>139</v>
      </c>
      <c r="F971" s="62">
        <v>1.1399999999999999</v>
      </c>
      <c r="G971" s="51"/>
      <c r="H971" s="63">
        <f>(SUM(H969:H970))*(1+F971)</f>
        <v>18.222099999999998</v>
      </c>
    </row>
    <row r="972" spans="2:8" x14ac:dyDescent="0.25">
      <c r="B972" s="53" t="s">
        <v>892</v>
      </c>
      <c r="C972" s="47" t="s">
        <v>893</v>
      </c>
      <c r="D972" s="69" t="s">
        <v>168</v>
      </c>
      <c r="E972" s="49" t="s">
        <v>159</v>
      </c>
      <c r="F972" s="70">
        <v>3.9E-2</v>
      </c>
      <c r="G972" s="88">
        <v>50.04</v>
      </c>
      <c r="H972" s="51">
        <f t="shared" si="82"/>
        <v>1.95156</v>
      </c>
    </row>
    <row r="973" spans="2:8" x14ac:dyDescent="0.25">
      <c r="B973" s="79" t="s">
        <v>894</v>
      </c>
      <c r="C973" s="47" t="s">
        <v>895</v>
      </c>
      <c r="D973" s="69" t="s">
        <v>168</v>
      </c>
      <c r="E973" s="49" t="s">
        <v>159</v>
      </c>
      <c r="F973" s="51">
        <v>0.09</v>
      </c>
      <c r="G973" s="88">
        <v>18.32</v>
      </c>
      <c r="H973" s="51">
        <f t="shared" si="82"/>
        <v>1.6488</v>
      </c>
    </row>
    <row r="974" spans="2:8" x14ac:dyDescent="0.25">
      <c r="B974" s="53" t="s">
        <v>896</v>
      </c>
      <c r="C974" s="47" t="s">
        <v>897</v>
      </c>
      <c r="D974" s="69" t="s">
        <v>173</v>
      </c>
      <c r="E974" s="49" t="s">
        <v>159</v>
      </c>
      <c r="F974" s="70">
        <v>0.06</v>
      </c>
      <c r="G974" s="93">
        <v>16.93</v>
      </c>
      <c r="H974" s="51">
        <f t="shared" si="82"/>
        <v>1.0158</v>
      </c>
    </row>
    <row r="975" spans="2:8" x14ac:dyDescent="0.25">
      <c r="B975" s="79" t="s">
        <v>898</v>
      </c>
      <c r="C975" s="47" t="s">
        <v>899</v>
      </c>
      <c r="D975" s="69" t="s">
        <v>123</v>
      </c>
      <c r="E975" s="49" t="s">
        <v>159</v>
      </c>
      <c r="F975" s="51">
        <v>0.2</v>
      </c>
      <c r="G975" s="88">
        <v>0.47</v>
      </c>
      <c r="H975" s="51">
        <f t="shared" si="82"/>
        <v>9.4E-2</v>
      </c>
    </row>
    <row r="976" spans="2:8" x14ac:dyDescent="0.25">
      <c r="B976" s="53" t="s">
        <v>900</v>
      </c>
      <c r="C976" s="47" t="s">
        <v>901</v>
      </c>
      <c r="D976" s="69" t="s">
        <v>143</v>
      </c>
      <c r="E976" s="49" t="s">
        <v>159</v>
      </c>
      <c r="F976" s="51">
        <v>4</v>
      </c>
      <c r="G976" s="88">
        <v>2.98</v>
      </c>
      <c r="H976" s="51">
        <f t="shared" si="82"/>
        <v>11.92</v>
      </c>
    </row>
    <row r="977" spans="2:8" x14ac:dyDescent="0.25">
      <c r="B977" s="53" t="s">
        <v>902</v>
      </c>
      <c r="C977" s="47" t="s">
        <v>903</v>
      </c>
      <c r="D977" s="69" t="s">
        <v>123</v>
      </c>
      <c r="E977" s="49" t="s">
        <v>159</v>
      </c>
      <c r="F977" s="70">
        <v>3</v>
      </c>
      <c r="G977" s="88">
        <v>2.0699999999999998</v>
      </c>
      <c r="H977" s="51">
        <f t="shared" si="82"/>
        <v>6.2099999999999991</v>
      </c>
    </row>
    <row r="978" spans="2:8" x14ac:dyDescent="0.25">
      <c r="B978" s="79" t="s">
        <v>904</v>
      </c>
      <c r="C978" s="47" t="s">
        <v>905</v>
      </c>
      <c r="D978" s="69" t="s">
        <v>123</v>
      </c>
      <c r="E978" s="49" t="s">
        <v>159</v>
      </c>
      <c r="F978" s="51">
        <v>3</v>
      </c>
      <c r="G978" s="88">
        <v>0.59</v>
      </c>
      <c r="H978" s="51">
        <f t="shared" si="82"/>
        <v>1.77</v>
      </c>
    </row>
    <row r="979" spans="2:8" x14ac:dyDescent="0.25">
      <c r="B979" s="52" t="s">
        <v>130</v>
      </c>
      <c r="C979" s="192" t="s">
        <v>321</v>
      </c>
      <c r="D979" s="192"/>
      <c r="E979" s="192"/>
      <c r="F979" s="192"/>
      <c r="G979" s="192"/>
      <c r="H979" s="192"/>
    </row>
    <row r="982" spans="2:8" ht="15.75" x14ac:dyDescent="0.25">
      <c r="B982" s="201" t="s">
        <v>526</v>
      </c>
      <c r="C982" s="191"/>
      <c r="D982" s="191"/>
      <c r="E982" s="191"/>
      <c r="F982" s="191"/>
      <c r="G982" s="191"/>
      <c r="H982" s="191"/>
    </row>
    <row r="983" spans="2:8" x14ac:dyDescent="0.25">
      <c r="B983" s="38" t="s">
        <v>121</v>
      </c>
      <c r="C983" s="39" t="s">
        <v>122</v>
      </c>
      <c r="D983" s="38" t="s">
        <v>123</v>
      </c>
      <c r="E983" s="38" t="s">
        <v>124</v>
      </c>
      <c r="F983" s="40" t="s">
        <v>125</v>
      </c>
      <c r="G983" s="40" t="s">
        <v>126</v>
      </c>
      <c r="H983" s="41" t="s">
        <v>127</v>
      </c>
    </row>
    <row r="984" spans="2:8" x14ac:dyDescent="0.25">
      <c r="B984" s="42" t="s">
        <v>527</v>
      </c>
      <c r="C984" s="43" t="s">
        <v>528</v>
      </c>
      <c r="D984" s="44" t="s">
        <v>123</v>
      </c>
      <c r="E984" s="38" t="s">
        <v>128</v>
      </c>
      <c r="F984" s="40"/>
      <c r="G984" s="40"/>
      <c r="H984" s="45">
        <f>SUM(H987:H991)</f>
        <v>132.36539999999999</v>
      </c>
    </row>
    <row r="985" spans="2:8" x14ac:dyDescent="0.25">
      <c r="B985" s="53" t="s">
        <v>529</v>
      </c>
      <c r="C985" s="47" t="s">
        <v>530</v>
      </c>
      <c r="D985" s="69" t="s">
        <v>138</v>
      </c>
      <c r="E985" s="49" t="s">
        <v>272</v>
      </c>
      <c r="F985" s="51">
        <v>3</v>
      </c>
      <c r="G985" s="88">
        <v>5.13</v>
      </c>
      <c r="H985" s="51">
        <f t="shared" ref="H985:H991" si="83">F985*G985</f>
        <v>15.39</v>
      </c>
    </row>
    <row r="986" spans="2:8" x14ac:dyDescent="0.25">
      <c r="B986" s="53" t="s">
        <v>531</v>
      </c>
      <c r="C986" s="47" t="s">
        <v>532</v>
      </c>
      <c r="D986" s="69" t="s">
        <v>138</v>
      </c>
      <c r="E986" s="49" t="s">
        <v>272</v>
      </c>
      <c r="F986" s="70">
        <v>3</v>
      </c>
      <c r="G986" s="88">
        <v>8.24</v>
      </c>
      <c r="H986" s="51">
        <f t="shared" si="83"/>
        <v>24.72</v>
      </c>
    </row>
    <row r="987" spans="2:8" x14ac:dyDescent="0.25">
      <c r="B987" s="53"/>
      <c r="C987" s="43" t="s">
        <v>155</v>
      </c>
      <c r="D987" s="61" t="s">
        <v>156</v>
      </c>
      <c r="E987" s="38" t="s">
        <v>139</v>
      </c>
      <c r="F987" s="62">
        <v>1.1399999999999999</v>
      </c>
      <c r="G987" s="51"/>
      <c r="H987" s="63">
        <f>(SUM(H985:H986))*(1+F987)</f>
        <v>85.835399999999993</v>
      </c>
    </row>
    <row r="988" spans="2:8" x14ac:dyDescent="0.25">
      <c r="B988" s="79" t="s">
        <v>533</v>
      </c>
      <c r="C988" s="47" t="s">
        <v>534</v>
      </c>
      <c r="D988" s="69" t="s">
        <v>123</v>
      </c>
      <c r="E988" s="49" t="s">
        <v>159</v>
      </c>
      <c r="F988" s="51">
        <v>2</v>
      </c>
      <c r="G988" s="88">
        <v>1.42</v>
      </c>
      <c r="H988" s="51">
        <f t="shared" si="83"/>
        <v>2.84</v>
      </c>
    </row>
    <row r="989" spans="2:8" ht="30" x14ac:dyDescent="0.25">
      <c r="B989" s="53" t="s">
        <v>535</v>
      </c>
      <c r="C989" s="47" t="s">
        <v>536</v>
      </c>
      <c r="D989" s="69" t="s">
        <v>123</v>
      </c>
      <c r="E989" s="49" t="s">
        <v>159</v>
      </c>
      <c r="F989" s="51">
        <v>1</v>
      </c>
      <c r="G989" s="88">
        <v>9.1999999999999993</v>
      </c>
      <c r="H989" s="51">
        <f t="shared" si="83"/>
        <v>9.1999999999999993</v>
      </c>
    </row>
    <row r="990" spans="2:8" x14ac:dyDescent="0.25">
      <c r="B990" s="53" t="s">
        <v>537</v>
      </c>
      <c r="C990" s="47" t="s">
        <v>538</v>
      </c>
      <c r="D990" s="69" t="s">
        <v>123</v>
      </c>
      <c r="E990" s="49" t="s">
        <v>159</v>
      </c>
      <c r="F990" s="70">
        <v>1</v>
      </c>
      <c r="G990" s="88">
        <v>4.01</v>
      </c>
      <c r="H990" s="51">
        <f t="shared" si="83"/>
        <v>4.01</v>
      </c>
    </row>
    <row r="991" spans="2:8" x14ac:dyDescent="0.25">
      <c r="B991" s="79" t="s">
        <v>539</v>
      </c>
      <c r="C991" s="47" t="s">
        <v>540</v>
      </c>
      <c r="D991" s="69" t="s">
        <v>541</v>
      </c>
      <c r="E991" s="49" t="s">
        <v>159</v>
      </c>
      <c r="F991" s="51">
        <v>6</v>
      </c>
      <c r="G991" s="88">
        <v>5.08</v>
      </c>
      <c r="H991" s="51">
        <f t="shared" si="83"/>
        <v>30.48</v>
      </c>
    </row>
    <row r="992" spans="2:8" x14ac:dyDescent="0.25">
      <c r="B992" s="52" t="s">
        <v>130</v>
      </c>
      <c r="C992" s="192" t="s">
        <v>131</v>
      </c>
      <c r="D992" s="192"/>
      <c r="E992" s="192"/>
      <c r="F992" s="192"/>
      <c r="G992" s="192"/>
      <c r="H992" s="192"/>
    </row>
    <row r="995" spans="2:8" ht="15.75" x14ac:dyDescent="0.25">
      <c r="B995" s="201" t="s">
        <v>542</v>
      </c>
      <c r="C995" s="191"/>
      <c r="D995" s="191"/>
      <c r="E995" s="191"/>
      <c r="F995" s="191"/>
      <c r="G995" s="191"/>
      <c r="H995" s="191"/>
    </row>
    <row r="996" spans="2:8" x14ac:dyDescent="0.25">
      <c r="B996" s="38" t="s">
        <v>121</v>
      </c>
      <c r="C996" s="39" t="s">
        <v>122</v>
      </c>
      <c r="D996" s="38" t="s">
        <v>123</v>
      </c>
      <c r="E996" s="38" t="s">
        <v>124</v>
      </c>
      <c r="F996" s="40" t="s">
        <v>125</v>
      </c>
      <c r="G996" s="40" t="s">
        <v>126</v>
      </c>
      <c r="H996" s="41" t="s">
        <v>127</v>
      </c>
    </row>
    <row r="997" spans="2:8" x14ac:dyDescent="0.25">
      <c r="B997" s="42" t="s">
        <v>906</v>
      </c>
      <c r="C997" s="43" t="s">
        <v>907</v>
      </c>
      <c r="D997" s="44" t="s">
        <v>123</v>
      </c>
      <c r="E997" s="38" t="s">
        <v>128</v>
      </c>
      <c r="F997" s="40"/>
      <c r="G997" s="40"/>
      <c r="H997" s="45">
        <f>SUM(H1000:H1008)</f>
        <v>90.698889999999992</v>
      </c>
    </row>
    <row r="998" spans="2:8" x14ac:dyDescent="0.25">
      <c r="B998" s="53" t="s">
        <v>763</v>
      </c>
      <c r="C998" s="47" t="s">
        <v>764</v>
      </c>
      <c r="D998" s="69" t="s">
        <v>138</v>
      </c>
      <c r="E998" s="49" t="s">
        <v>272</v>
      </c>
      <c r="F998" s="51">
        <v>0.3</v>
      </c>
      <c r="G998" s="88">
        <v>8.24</v>
      </c>
      <c r="H998" s="51">
        <f t="shared" ref="H998:H1008" si="84">F998*G998</f>
        <v>2.472</v>
      </c>
    </row>
    <row r="999" spans="2:8" x14ac:dyDescent="0.25">
      <c r="B999" s="53" t="s">
        <v>702</v>
      </c>
      <c r="C999" s="47" t="s">
        <v>703</v>
      </c>
      <c r="D999" s="69" t="s">
        <v>138</v>
      </c>
      <c r="E999" s="49" t="s">
        <v>272</v>
      </c>
      <c r="F999" s="51">
        <v>0.3</v>
      </c>
      <c r="G999" s="88">
        <v>4.8600000000000003</v>
      </c>
      <c r="H999" s="51">
        <f t="shared" si="84"/>
        <v>1.458</v>
      </c>
    </row>
    <row r="1000" spans="2:8" x14ac:dyDescent="0.25">
      <c r="B1000" s="53"/>
      <c r="C1000" s="43" t="s">
        <v>155</v>
      </c>
      <c r="D1000" s="61" t="s">
        <v>156</v>
      </c>
      <c r="E1000" s="38" t="s">
        <v>139</v>
      </c>
      <c r="F1000" s="62">
        <v>1.1399999999999999</v>
      </c>
      <c r="G1000" s="51"/>
      <c r="H1000" s="63">
        <f>(SUM(H998:H999))*(1+F1000)</f>
        <v>8.4101999999999979</v>
      </c>
    </row>
    <row r="1001" spans="2:8" x14ac:dyDescent="0.25">
      <c r="B1001" s="53" t="s">
        <v>892</v>
      </c>
      <c r="C1001" s="47" t="s">
        <v>893</v>
      </c>
      <c r="D1001" s="69" t="s">
        <v>168</v>
      </c>
      <c r="E1001" s="49" t="s">
        <v>159</v>
      </c>
      <c r="F1001" s="70">
        <v>1.4999999999999999E-2</v>
      </c>
      <c r="G1001" s="88">
        <v>50.04</v>
      </c>
      <c r="H1001" s="51">
        <f t="shared" si="84"/>
        <v>0.75059999999999993</v>
      </c>
    </row>
    <row r="1002" spans="2:8" x14ac:dyDescent="0.25">
      <c r="B1002" s="79" t="s">
        <v>894</v>
      </c>
      <c r="C1002" s="47" t="s">
        <v>895</v>
      </c>
      <c r="D1002" s="69" t="s">
        <v>168</v>
      </c>
      <c r="E1002" s="49" t="s">
        <v>159</v>
      </c>
      <c r="F1002" s="51">
        <v>0.06</v>
      </c>
      <c r="G1002" s="88">
        <v>18.32</v>
      </c>
      <c r="H1002" s="51">
        <f t="shared" si="84"/>
        <v>1.0992</v>
      </c>
    </row>
    <row r="1003" spans="2:8" x14ac:dyDescent="0.25">
      <c r="B1003" s="53" t="s">
        <v>896</v>
      </c>
      <c r="C1003" s="47" t="s">
        <v>897</v>
      </c>
      <c r="D1003" s="69" t="s">
        <v>173</v>
      </c>
      <c r="E1003" s="49" t="s">
        <v>159</v>
      </c>
      <c r="F1003" s="70">
        <v>2.3E-2</v>
      </c>
      <c r="G1003" s="93">
        <v>16.93</v>
      </c>
      <c r="H1003" s="51">
        <f t="shared" si="84"/>
        <v>0.38939000000000001</v>
      </c>
    </row>
    <row r="1004" spans="2:8" x14ac:dyDescent="0.25">
      <c r="B1004" s="79" t="s">
        <v>908</v>
      </c>
      <c r="C1004" s="47" t="s">
        <v>909</v>
      </c>
      <c r="D1004" s="69" t="s">
        <v>168</v>
      </c>
      <c r="E1004" s="49" t="s">
        <v>159</v>
      </c>
      <c r="F1004" s="51">
        <v>0.05</v>
      </c>
      <c r="G1004" s="88">
        <v>12.31</v>
      </c>
      <c r="H1004" s="51">
        <f t="shared" si="84"/>
        <v>0.61550000000000005</v>
      </c>
    </row>
    <row r="1005" spans="2:8" x14ac:dyDescent="0.25">
      <c r="B1005" s="53" t="s">
        <v>910</v>
      </c>
      <c r="C1005" s="47" t="s">
        <v>911</v>
      </c>
      <c r="D1005" s="69" t="s">
        <v>123</v>
      </c>
      <c r="E1005" s="49" t="s">
        <v>159</v>
      </c>
      <c r="F1005" s="51">
        <v>3</v>
      </c>
      <c r="G1005" s="88">
        <v>4.2</v>
      </c>
      <c r="H1005" s="51">
        <f t="shared" si="84"/>
        <v>12.600000000000001</v>
      </c>
    </row>
    <row r="1006" spans="2:8" x14ac:dyDescent="0.25">
      <c r="B1006" s="53" t="s">
        <v>898</v>
      </c>
      <c r="C1006" s="47" t="s">
        <v>899</v>
      </c>
      <c r="D1006" s="69" t="s">
        <v>123</v>
      </c>
      <c r="E1006" s="49" t="s">
        <v>159</v>
      </c>
      <c r="F1006" s="70">
        <v>0.2</v>
      </c>
      <c r="G1006" s="88">
        <v>0.47</v>
      </c>
      <c r="H1006" s="51">
        <f t="shared" si="84"/>
        <v>9.4E-2</v>
      </c>
    </row>
    <row r="1007" spans="2:8" x14ac:dyDescent="0.25">
      <c r="B1007" s="53" t="s">
        <v>912</v>
      </c>
      <c r="C1007" s="47" t="s">
        <v>913</v>
      </c>
      <c r="D1007" s="69" t="s">
        <v>143</v>
      </c>
      <c r="E1007" s="49" t="s">
        <v>159</v>
      </c>
      <c r="F1007" s="70">
        <v>8</v>
      </c>
      <c r="G1007" s="88">
        <v>7.34</v>
      </c>
      <c r="H1007" s="51">
        <f t="shared" si="84"/>
        <v>58.72</v>
      </c>
    </row>
    <row r="1008" spans="2:8" x14ac:dyDescent="0.25">
      <c r="B1008" s="79" t="s">
        <v>914</v>
      </c>
      <c r="C1008" s="47" t="s">
        <v>915</v>
      </c>
      <c r="D1008" s="69" t="s">
        <v>123</v>
      </c>
      <c r="E1008" s="49" t="s">
        <v>159</v>
      </c>
      <c r="F1008" s="51">
        <v>1</v>
      </c>
      <c r="G1008" s="88">
        <v>8.02</v>
      </c>
      <c r="H1008" s="51">
        <f t="shared" si="84"/>
        <v>8.02</v>
      </c>
    </row>
    <row r="1009" spans="2:8" x14ac:dyDescent="0.25">
      <c r="B1009" s="52" t="s">
        <v>130</v>
      </c>
      <c r="C1009" s="192" t="s">
        <v>321</v>
      </c>
      <c r="D1009" s="192"/>
      <c r="E1009" s="192"/>
      <c r="F1009" s="192"/>
      <c r="G1009" s="192"/>
      <c r="H1009" s="192"/>
    </row>
    <row r="1012" spans="2:8" ht="15.75" x14ac:dyDescent="0.25">
      <c r="B1012" s="201" t="s">
        <v>543</v>
      </c>
      <c r="C1012" s="191"/>
      <c r="D1012" s="191"/>
      <c r="E1012" s="191"/>
      <c r="F1012" s="191"/>
      <c r="G1012" s="191"/>
      <c r="H1012" s="191"/>
    </row>
    <row r="1013" spans="2:8" x14ac:dyDescent="0.25">
      <c r="B1013" s="38" t="s">
        <v>121</v>
      </c>
      <c r="C1013" s="39" t="s">
        <v>122</v>
      </c>
      <c r="D1013" s="38" t="s">
        <v>123</v>
      </c>
      <c r="E1013" s="38" t="s">
        <v>124</v>
      </c>
      <c r="F1013" s="40" t="s">
        <v>125</v>
      </c>
      <c r="G1013" s="40" t="s">
        <v>126</v>
      </c>
      <c r="H1013" s="41" t="s">
        <v>127</v>
      </c>
    </row>
    <row r="1014" spans="2:8" x14ac:dyDescent="0.25">
      <c r="B1014" s="42" t="s">
        <v>544</v>
      </c>
      <c r="C1014" s="43" t="s">
        <v>545</v>
      </c>
      <c r="D1014" s="44" t="s">
        <v>123</v>
      </c>
      <c r="E1014" s="38" t="s">
        <v>128</v>
      </c>
      <c r="F1014" s="40"/>
      <c r="G1014" s="40"/>
      <c r="H1014" s="45">
        <f>SUM(H1017:H1021)</f>
        <v>196.27129999999994</v>
      </c>
    </row>
    <row r="1015" spans="2:8" x14ac:dyDescent="0.25">
      <c r="B1015" s="53" t="s">
        <v>529</v>
      </c>
      <c r="C1015" s="47" t="s">
        <v>546</v>
      </c>
      <c r="D1015" s="69" t="s">
        <v>138</v>
      </c>
      <c r="E1015" s="49" t="s">
        <v>272</v>
      </c>
      <c r="F1015" s="54">
        <v>3.5</v>
      </c>
      <c r="G1015" s="88">
        <v>5.13</v>
      </c>
      <c r="H1015" s="51">
        <f t="shared" ref="H1015:H1021" si="85">F1015*G1015</f>
        <v>17.954999999999998</v>
      </c>
    </row>
    <row r="1016" spans="2:8" x14ac:dyDescent="0.25">
      <c r="B1016" s="53" t="s">
        <v>531</v>
      </c>
      <c r="C1016" s="47" t="s">
        <v>547</v>
      </c>
      <c r="D1016" s="69" t="s">
        <v>138</v>
      </c>
      <c r="E1016" s="49" t="s">
        <v>272</v>
      </c>
      <c r="F1016" s="54">
        <v>3.5</v>
      </c>
      <c r="G1016" s="88">
        <v>8.24</v>
      </c>
      <c r="H1016" s="51">
        <f t="shared" si="85"/>
        <v>28.84</v>
      </c>
    </row>
    <row r="1017" spans="2:8" x14ac:dyDescent="0.25">
      <c r="B1017" s="53"/>
      <c r="C1017" s="43" t="s">
        <v>155</v>
      </c>
      <c r="D1017" s="61" t="s">
        <v>156</v>
      </c>
      <c r="E1017" s="38" t="s">
        <v>139</v>
      </c>
      <c r="F1017" s="62">
        <v>1.1399999999999999</v>
      </c>
      <c r="G1017" s="51"/>
      <c r="H1017" s="63">
        <f>(SUM(H1015:H1016))*(1+F1017)</f>
        <v>100.14129999999999</v>
      </c>
    </row>
    <row r="1018" spans="2:8" x14ac:dyDescent="0.25">
      <c r="B1018" s="81" t="s">
        <v>548</v>
      </c>
      <c r="C1018" s="47" t="s">
        <v>549</v>
      </c>
      <c r="D1018" s="69" t="s">
        <v>123</v>
      </c>
      <c r="E1018" s="49" t="s">
        <v>159</v>
      </c>
      <c r="F1018" s="54">
        <v>2</v>
      </c>
      <c r="G1018" s="88">
        <v>10.84</v>
      </c>
      <c r="H1018" s="51">
        <f t="shared" si="85"/>
        <v>21.68</v>
      </c>
    </row>
    <row r="1019" spans="2:8" ht="30" x14ac:dyDescent="0.25">
      <c r="B1019" s="53" t="s">
        <v>550</v>
      </c>
      <c r="C1019" s="47" t="s">
        <v>551</v>
      </c>
      <c r="D1019" s="69" t="s">
        <v>123</v>
      </c>
      <c r="E1019" s="49" t="s">
        <v>159</v>
      </c>
      <c r="F1019" s="54">
        <v>1</v>
      </c>
      <c r="G1019" s="88">
        <v>15.73</v>
      </c>
      <c r="H1019" s="51">
        <f t="shared" si="85"/>
        <v>15.73</v>
      </c>
    </row>
    <row r="1020" spans="2:8" x14ac:dyDescent="0.25">
      <c r="B1020" s="53" t="s">
        <v>552</v>
      </c>
      <c r="C1020" s="47" t="s">
        <v>553</v>
      </c>
      <c r="D1020" s="69" t="s">
        <v>123</v>
      </c>
      <c r="E1020" s="49" t="s">
        <v>159</v>
      </c>
      <c r="F1020" s="54">
        <v>1</v>
      </c>
      <c r="G1020" s="88">
        <v>9.0399999999999991</v>
      </c>
      <c r="H1020" s="51">
        <f t="shared" si="85"/>
        <v>9.0399999999999991</v>
      </c>
    </row>
    <row r="1021" spans="2:8" x14ac:dyDescent="0.25">
      <c r="B1021" s="79" t="s">
        <v>554</v>
      </c>
      <c r="C1021" s="47" t="s">
        <v>555</v>
      </c>
      <c r="D1021" s="69" t="s">
        <v>123</v>
      </c>
      <c r="E1021" s="49" t="s">
        <v>159</v>
      </c>
      <c r="F1021" s="54">
        <v>6</v>
      </c>
      <c r="G1021" s="88">
        <v>8.2799999999999994</v>
      </c>
      <c r="H1021" s="51">
        <f t="shared" si="85"/>
        <v>49.679999999999993</v>
      </c>
    </row>
    <row r="1022" spans="2:8" x14ac:dyDescent="0.25">
      <c r="B1022" s="52" t="s">
        <v>130</v>
      </c>
      <c r="C1022" s="192" t="s">
        <v>131</v>
      </c>
      <c r="D1022" s="192"/>
      <c r="E1022" s="192"/>
      <c r="F1022" s="192"/>
      <c r="G1022" s="192"/>
      <c r="H1022" s="192"/>
    </row>
    <row r="1025" spans="2:8" ht="15.75" x14ac:dyDescent="0.25">
      <c r="B1025" s="201" t="s">
        <v>556</v>
      </c>
      <c r="C1025" s="191"/>
      <c r="D1025" s="191"/>
      <c r="E1025" s="191"/>
      <c r="F1025" s="191"/>
      <c r="G1025" s="191"/>
      <c r="H1025" s="191"/>
    </row>
    <row r="1026" spans="2:8" x14ac:dyDescent="0.25">
      <c r="B1026" s="38" t="s">
        <v>121</v>
      </c>
      <c r="C1026" s="39" t="s">
        <v>122</v>
      </c>
      <c r="D1026" s="38" t="s">
        <v>123</v>
      </c>
      <c r="E1026" s="38" t="s">
        <v>124</v>
      </c>
      <c r="F1026" s="40" t="s">
        <v>125</v>
      </c>
      <c r="G1026" s="40" t="s">
        <v>126</v>
      </c>
      <c r="H1026" s="41" t="s">
        <v>127</v>
      </c>
    </row>
    <row r="1027" spans="2:8" x14ac:dyDescent="0.25">
      <c r="B1027" s="42" t="s">
        <v>916</v>
      </c>
      <c r="C1027" s="43" t="s">
        <v>917</v>
      </c>
      <c r="D1027" s="44" t="s">
        <v>123</v>
      </c>
      <c r="E1027" s="38" t="s">
        <v>128</v>
      </c>
      <c r="F1027" s="40"/>
      <c r="G1027" s="40"/>
      <c r="H1027" s="45">
        <f>SUM(H1031:H1036)</f>
        <v>131.34341199999997</v>
      </c>
    </row>
    <row r="1028" spans="2:8" x14ac:dyDescent="0.25">
      <c r="B1028" s="53" t="s">
        <v>763</v>
      </c>
      <c r="C1028" s="47" t="s">
        <v>764</v>
      </c>
      <c r="D1028" s="69" t="s">
        <v>138</v>
      </c>
      <c r="E1028" s="49" t="s">
        <v>272</v>
      </c>
      <c r="F1028" s="51">
        <v>1.22</v>
      </c>
      <c r="G1028" s="88">
        <v>8.24</v>
      </c>
      <c r="H1028" s="51">
        <f t="shared" ref="H1028:H1036" si="86">F1028*G1028</f>
        <v>10.0528</v>
      </c>
    </row>
    <row r="1029" spans="2:8" x14ac:dyDescent="0.25">
      <c r="B1029" s="79" t="s">
        <v>701</v>
      </c>
      <c r="C1029" s="47" t="s">
        <v>735</v>
      </c>
      <c r="D1029" s="69" t="s">
        <v>138</v>
      </c>
      <c r="E1029" s="49" t="s">
        <v>272</v>
      </c>
      <c r="F1029" s="51">
        <v>0.75</v>
      </c>
      <c r="G1029" s="88">
        <v>8.24</v>
      </c>
      <c r="H1029" s="51">
        <f t="shared" si="86"/>
        <v>6.18</v>
      </c>
    </row>
    <row r="1030" spans="2:8" x14ac:dyDescent="0.25">
      <c r="B1030" s="53" t="s">
        <v>702</v>
      </c>
      <c r="C1030" s="47" t="s">
        <v>703</v>
      </c>
      <c r="D1030" s="69" t="s">
        <v>138</v>
      </c>
      <c r="E1030" s="49" t="s">
        <v>272</v>
      </c>
      <c r="F1030" s="70">
        <v>3.9249999999999998</v>
      </c>
      <c r="G1030" s="88">
        <v>4.8600000000000003</v>
      </c>
      <c r="H1030" s="51">
        <f t="shared" si="86"/>
        <v>19.075500000000002</v>
      </c>
    </row>
    <row r="1031" spans="2:8" x14ac:dyDescent="0.25">
      <c r="B1031" s="53"/>
      <c r="C1031" s="43" t="s">
        <v>155</v>
      </c>
      <c r="D1031" s="61" t="s">
        <v>156</v>
      </c>
      <c r="E1031" s="38" t="s">
        <v>139</v>
      </c>
      <c r="F1031" s="62">
        <v>1.1399999999999999</v>
      </c>
      <c r="G1031" s="51"/>
      <c r="H1031" s="63">
        <f>(SUM(H1028:H1030))*(1+F1031)</f>
        <v>75.559761999999992</v>
      </c>
    </row>
    <row r="1032" spans="2:8" x14ac:dyDescent="0.25">
      <c r="B1032" s="79" t="s">
        <v>918</v>
      </c>
      <c r="C1032" s="47" t="s">
        <v>919</v>
      </c>
      <c r="D1032" s="69" t="s">
        <v>143</v>
      </c>
      <c r="E1032" s="49" t="s">
        <v>159</v>
      </c>
      <c r="F1032" s="51">
        <v>2.25</v>
      </c>
      <c r="G1032" s="88">
        <v>3.6</v>
      </c>
      <c r="H1032" s="51">
        <f t="shared" si="86"/>
        <v>8.1</v>
      </c>
    </row>
    <row r="1033" spans="2:8" x14ac:dyDescent="0.25">
      <c r="B1033" s="53" t="s">
        <v>767</v>
      </c>
      <c r="C1033" s="47" t="s">
        <v>768</v>
      </c>
      <c r="D1033" s="69" t="s">
        <v>135</v>
      </c>
      <c r="E1033" s="49" t="s">
        <v>159</v>
      </c>
      <c r="F1033" s="71">
        <v>1.1999999999999999E-3</v>
      </c>
      <c r="G1033" s="88">
        <v>73</v>
      </c>
      <c r="H1033" s="51">
        <f t="shared" si="86"/>
        <v>8.7599999999999997E-2</v>
      </c>
    </row>
    <row r="1034" spans="2:8" x14ac:dyDescent="0.25">
      <c r="B1034" s="79" t="s">
        <v>920</v>
      </c>
      <c r="C1034" s="47" t="s">
        <v>921</v>
      </c>
      <c r="D1034" s="69" t="s">
        <v>168</v>
      </c>
      <c r="E1034" s="49" t="s">
        <v>159</v>
      </c>
      <c r="F1034" s="70">
        <v>0.185</v>
      </c>
      <c r="G1034" s="88">
        <v>0.83</v>
      </c>
      <c r="H1034" s="51">
        <f t="shared" si="86"/>
        <v>0.15354999999999999</v>
      </c>
    </row>
    <row r="1035" spans="2:8" x14ac:dyDescent="0.25">
      <c r="B1035" s="53" t="s">
        <v>922</v>
      </c>
      <c r="C1035" s="47" t="s">
        <v>923</v>
      </c>
      <c r="D1035" s="69" t="s">
        <v>168</v>
      </c>
      <c r="E1035" s="49" t="s">
        <v>159</v>
      </c>
      <c r="F1035" s="70">
        <v>0.15</v>
      </c>
      <c r="G1035" s="88">
        <v>3.15</v>
      </c>
      <c r="H1035" s="51">
        <f t="shared" si="86"/>
        <v>0.47249999999999998</v>
      </c>
    </row>
    <row r="1036" spans="2:8" x14ac:dyDescent="0.25">
      <c r="B1036" s="79" t="s">
        <v>924</v>
      </c>
      <c r="C1036" s="47" t="s">
        <v>925</v>
      </c>
      <c r="D1036" s="69" t="s">
        <v>143</v>
      </c>
      <c r="E1036" s="49" t="s">
        <v>159</v>
      </c>
      <c r="F1036" s="51">
        <v>7</v>
      </c>
      <c r="G1036" s="88">
        <v>6.71</v>
      </c>
      <c r="H1036" s="51">
        <f t="shared" si="86"/>
        <v>46.97</v>
      </c>
    </row>
    <row r="1037" spans="2:8" x14ac:dyDescent="0.25">
      <c r="B1037" s="52" t="s">
        <v>130</v>
      </c>
      <c r="C1037" s="192" t="s">
        <v>321</v>
      </c>
      <c r="D1037" s="192"/>
      <c r="E1037" s="192"/>
      <c r="F1037" s="192"/>
      <c r="G1037" s="192"/>
      <c r="H1037" s="192"/>
    </row>
    <row r="1040" spans="2:8" ht="15.75" x14ac:dyDescent="0.25">
      <c r="B1040" s="201" t="s">
        <v>557</v>
      </c>
      <c r="C1040" s="191"/>
      <c r="D1040" s="191"/>
      <c r="E1040" s="191"/>
      <c r="F1040" s="191"/>
      <c r="G1040" s="191"/>
      <c r="H1040" s="191"/>
    </row>
    <row r="1041" spans="2:8" x14ac:dyDescent="0.25">
      <c r="B1041" s="38" t="s">
        <v>121</v>
      </c>
      <c r="C1041" s="39" t="s">
        <v>122</v>
      </c>
      <c r="D1041" s="38" t="s">
        <v>123</v>
      </c>
      <c r="E1041" s="38" t="s">
        <v>124</v>
      </c>
      <c r="F1041" s="40" t="s">
        <v>125</v>
      </c>
      <c r="G1041" s="40" t="s">
        <v>126</v>
      </c>
      <c r="H1041" s="41" t="s">
        <v>127</v>
      </c>
    </row>
    <row r="1042" spans="2:8" x14ac:dyDescent="0.25">
      <c r="B1042" s="42" t="s">
        <v>558</v>
      </c>
      <c r="C1042" s="43" t="s">
        <v>926</v>
      </c>
      <c r="D1042" s="44" t="s">
        <v>123</v>
      </c>
      <c r="E1042" s="38" t="s">
        <v>128</v>
      </c>
      <c r="F1042" s="40"/>
      <c r="G1042" s="40"/>
      <c r="H1042" s="45">
        <f>SUM(H1045:H1049)</f>
        <v>120.9554</v>
      </c>
    </row>
    <row r="1043" spans="2:8" x14ac:dyDescent="0.25">
      <c r="B1043" s="53" t="s">
        <v>529</v>
      </c>
      <c r="C1043" s="47" t="s">
        <v>546</v>
      </c>
      <c r="D1043" s="69" t="s">
        <v>138</v>
      </c>
      <c r="E1043" s="49" t="s">
        <v>272</v>
      </c>
      <c r="F1043" s="51">
        <v>3</v>
      </c>
      <c r="G1043" s="88">
        <v>5.13</v>
      </c>
      <c r="H1043" s="51">
        <f t="shared" ref="H1043:H1049" si="87">F1043*G1043</f>
        <v>15.39</v>
      </c>
    </row>
    <row r="1044" spans="2:8" x14ac:dyDescent="0.25">
      <c r="B1044" s="53" t="s">
        <v>531</v>
      </c>
      <c r="C1044" s="47" t="s">
        <v>532</v>
      </c>
      <c r="D1044" s="69" t="s">
        <v>138</v>
      </c>
      <c r="E1044" s="49" t="s">
        <v>272</v>
      </c>
      <c r="F1044" s="70">
        <v>3</v>
      </c>
      <c r="G1044" s="88">
        <v>8.24</v>
      </c>
      <c r="H1044" s="51">
        <f t="shared" si="87"/>
        <v>24.72</v>
      </c>
    </row>
    <row r="1045" spans="2:8" x14ac:dyDescent="0.25">
      <c r="B1045" s="53"/>
      <c r="C1045" s="43" t="s">
        <v>155</v>
      </c>
      <c r="D1045" s="61" t="s">
        <v>156</v>
      </c>
      <c r="E1045" s="38" t="s">
        <v>139</v>
      </c>
      <c r="F1045" s="62">
        <v>1.1399999999999999</v>
      </c>
      <c r="G1045" s="51"/>
      <c r="H1045" s="63">
        <f>(SUM(H1043:H1044))*(1+F1045)</f>
        <v>85.835399999999993</v>
      </c>
    </row>
    <row r="1046" spans="2:8" ht="30" x14ac:dyDescent="0.25">
      <c r="B1046" s="79" t="s">
        <v>559</v>
      </c>
      <c r="C1046" s="47" t="s">
        <v>560</v>
      </c>
      <c r="D1046" s="69" t="s">
        <v>123</v>
      </c>
      <c r="E1046" s="49" t="s">
        <v>159</v>
      </c>
      <c r="F1046" s="51">
        <v>1</v>
      </c>
      <c r="G1046" s="88">
        <v>7.68</v>
      </c>
      <c r="H1046" s="51">
        <f t="shared" si="87"/>
        <v>7.68</v>
      </c>
    </row>
    <row r="1047" spans="2:8" ht="30" x14ac:dyDescent="0.25">
      <c r="B1047" s="53" t="s">
        <v>561</v>
      </c>
      <c r="C1047" s="47" t="s">
        <v>562</v>
      </c>
      <c r="D1047" s="69" t="s">
        <v>123</v>
      </c>
      <c r="E1047" s="49" t="s">
        <v>159</v>
      </c>
      <c r="F1047" s="51">
        <v>3</v>
      </c>
      <c r="G1047" s="88">
        <v>2.23</v>
      </c>
      <c r="H1047" s="51">
        <f t="shared" si="87"/>
        <v>6.6899999999999995</v>
      </c>
    </row>
    <row r="1048" spans="2:8" ht="45" x14ac:dyDescent="0.25">
      <c r="B1048" s="53" t="s">
        <v>563</v>
      </c>
      <c r="C1048" s="47" t="s">
        <v>564</v>
      </c>
      <c r="D1048" s="69" t="s">
        <v>123</v>
      </c>
      <c r="E1048" s="49" t="s">
        <v>159</v>
      </c>
      <c r="F1048" s="70">
        <v>1</v>
      </c>
      <c r="G1048" s="88">
        <v>0.83</v>
      </c>
      <c r="H1048" s="51">
        <f t="shared" si="87"/>
        <v>0.83</v>
      </c>
    </row>
    <row r="1049" spans="2:8" x14ac:dyDescent="0.25">
      <c r="B1049" s="79" t="s">
        <v>565</v>
      </c>
      <c r="C1049" s="47" t="s">
        <v>566</v>
      </c>
      <c r="D1049" s="69" t="s">
        <v>143</v>
      </c>
      <c r="E1049" s="49" t="s">
        <v>159</v>
      </c>
      <c r="F1049" s="51">
        <v>8</v>
      </c>
      <c r="G1049" s="88">
        <v>2.4900000000000002</v>
      </c>
      <c r="H1049" s="51">
        <f t="shared" si="87"/>
        <v>19.920000000000002</v>
      </c>
    </row>
    <row r="1050" spans="2:8" x14ac:dyDescent="0.25">
      <c r="B1050" s="52" t="s">
        <v>130</v>
      </c>
      <c r="C1050" s="192" t="s">
        <v>131</v>
      </c>
      <c r="D1050" s="192"/>
      <c r="E1050" s="192"/>
      <c r="F1050" s="192"/>
      <c r="G1050" s="192"/>
      <c r="H1050" s="192"/>
    </row>
    <row r="1053" spans="2:8" ht="15.75" x14ac:dyDescent="0.25">
      <c r="B1053" s="201" t="s">
        <v>567</v>
      </c>
      <c r="C1053" s="191"/>
      <c r="D1053" s="191"/>
      <c r="E1053" s="191"/>
      <c r="F1053" s="191"/>
      <c r="G1053" s="191"/>
      <c r="H1053" s="191"/>
    </row>
    <row r="1054" spans="2:8" x14ac:dyDescent="0.25">
      <c r="B1054" s="38" t="s">
        <v>121</v>
      </c>
      <c r="C1054" s="39" t="s">
        <v>122</v>
      </c>
      <c r="D1054" s="38" t="s">
        <v>123</v>
      </c>
      <c r="E1054" s="38" t="s">
        <v>124</v>
      </c>
      <c r="F1054" s="40" t="s">
        <v>125</v>
      </c>
      <c r="G1054" s="40" t="s">
        <v>126</v>
      </c>
      <c r="H1054" s="41" t="s">
        <v>127</v>
      </c>
    </row>
    <row r="1055" spans="2:8" x14ac:dyDescent="0.25">
      <c r="B1055" s="42" t="s">
        <v>927</v>
      </c>
      <c r="C1055" s="43" t="s">
        <v>928</v>
      </c>
      <c r="D1055" s="44" t="s">
        <v>123</v>
      </c>
      <c r="E1055" s="38" t="s">
        <v>128</v>
      </c>
      <c r="F1055" s="40"/>
      <c r="G1055" s="40"/>
      <c r="H1055" s="45">
        <f>SUM(H1058:H1060)</f>
        <v>149.09710000000001</v>
      </c>
    </row>
    <row r="1056" spans="2:8" x14ac:dyDescent="0.25">
      <c r="B1056" s="53" t="s">
        <v>763</v>
      </c>
      <c r="C1056" s="47" t="s">
        <v>764</v>
      </c>
      <c r="D1056" s="69" t="s">
        <v>138</v>
      </c>
      <c r="E1056" s="49" t="s">
        <v>272</v>
      </c>
      <c r="F1056" s="51">
        <v>0.5</v>
      </c>
      <c r="G1056" s="88">
        <v>8.24</v>
      </c>
      <c r="H1056" s="51">
        <f t="shared" ref="H1056:H1060" si="88">F1056*G1056</f>
        <v>4.12</v>
      </c>
    </row>
    <row r="1057" spans="2:8" x14ac:dyDescent="0.25">
      <c r="B1057" s="53" t="s">
        <v>702</v>
      </c>
      <c r="C1057" s="47" t="s">
        <v>703</v>
      </c>
      <c r="D1057" s="69" t="s">
        <v>138</v>
      </c>
      <c r="E1057" s="49" t="s">
        <v>272</v>
      </c>
      <c r="F1057" s="51">
        <v>0.75</v>
      </c>
      <c r="G1057" s="88">
        <v>4.8600000000000003</v>
      </c>
      <c r="H1057" s="51">
        <f t="shared" si="88"/>
        <v>3.6450000000000005</v>
      </c>
    </row>
    <row r="1058" spans="2:8" x14ac:dyDescent="0.25">
      <c r="B1058" s="53"/>
      <c r="C1058" s="43" t="s">
        <v>155</v>
      </c>
      <c r="D1058" s="61" t="s">
        <v>156</v>
      </c>
      <c r="E1058" s="38" t="s">
        <v>139</v>
      </c>
      <c r="F1058" s="62">
        <v>1.1399999999999999</v>
      </c>
      <c r="G1058" s="51"/>
      <c r="H1058" s="63">
        <f>(SUM(H1056:H1057))*(1+F1058)</f>
        <v>16.617099999999997</v>
      </c>
    </row>
    <row r="1059" spans="2:8" x14ac:dyDescent="0.25">
      <c r="B1059" s="53" t="s">
        <v>929</v>
      </c>
      <c r="C1059" s="47" t="s">
        <v>930</v>
      </c>
      <c r="D1059" s="69" t="s">
        <v>123</v>
      </c>
      <c r="E1059" s="49" t="s">
        <v>159</v>
      </c>
      <c r="F1059" s="70">
        <v>1</v>
      </c>
      <c r="G1059" s="88">
        <v>118.08</v>
      </c>
      <c r="H1059" s="51">
        <f t="shared" si="88"/>
        <v>118.08</v>
      </c>
    </row>
    <row r="1060" spans="2:8" x14ac:dyDescent="0.25">
      <c r="B1060" s="79" t="s">
        <v>931</v>
      </c>
      <c r="C1060" s="47" t="s">
        <v>932</v>
      </c>
      <c r="D1060" s="69" t="s">
        <v>143</v>
      </c>
      <c r="E1060" s="49" t="s">
        <v>159</v>
      </c>
      <c r="F1060" s="51">
        <v>4</v>
      </c>
      <c r="G1060" s="88">
        <v>3.6</v>
      </c>
      <c r="H1060" s="51">
        <f t="shared" si="88"/>
        <v>14.4</v>
      </c>
    </row>
    <row r="1061" spans="2:8" x14ac:dyDescent="0.25">
      <c r="B1061" s="52" t="s">
        <v>130</v>
      </c>
      <c r="C1061" s="192" t="s">
        <v>321</v>
      </c>
      <c r="D1061" s="192"/>
      <c r="E1061" s="192"/>
      <c r="F1061" s="192"/>
      <c r="G1061" s="192"/>
      <c r="H1061" s="192"/>
    </row>
    <row r="1064" spans="2:8" ht="15.75" x14ac:dyDescent="0.25">
      <c r="B1064" s="201" t="s">
        <v>568</v>
      </c>
      <c r="C1064" s="191"/>
      <c r="D1064" s="191"/>
      <c r="E1064" s="191"/>
      <c r="F1064" s="191"/>
      <c r="G1064" s="191"/>
      <c r="H1064" s="191"/>
    </row>
    <row r="1065" spans="2:8" x14ac:dyDescent="0.25">
      <c r="B1065" s="38" t="s">
        <v>121</v>
      </c>
      <c r="C1065" s="39" t="s">
        <v>122</v>
      </c>
      <c r="D1065" s="38" t="s">
        <v>123</v>
      </c>
      <c r="E1065" s="38" t="s">
        <v>124</v>
      </c>
      <c r="F1065" s="40" t="s">
        <v>125</v>
      </c>
      <c r="G1065" s="40" t="s">
        <v>126</v>
      </c>
      <c r="H1065" s="41" t="s">
        <v>127</v>
      </c>
    </row>
    <row r="1066" spans="2:8" x14ac:dyDescent="0.25">
      <c r="B1066" s="42" t="s">
        <v>569</v>
      </c>
      <c r="C1066" s="43" t="s">
        <v>570</v>
      </c>
      <c r="D1066" s="44" t="s">
        <v>123</v>
      </c>
      <c r="E1066" s="38" t="s">
        <v>128</v>
      </c>
      <c r="F1066" s="40"/>
      <c r="G1066" s="40"/>
      <c r="H1066" s="45">
        <f>SUM(H1069:H1075)</f>
        <v>220.19899999999998</v>
      </c>
    </row>
    <row r="1067" spans="2:8" x14ac:dyDescent="0.25">
      <c r="B1067" s="53" t="s">
        <v>571</v>
      </c>
      <c r="C1067" s="47" t="s">
        <v>572</v>
      </c>
      <c r="D1067" s="69" t="s">
        <v>138</v>
      </c>
      <c r="E1067" s="49" t="s">
        <v>272</v>
      </c>
      <c r="F1067" s="51">
        <v>5</v>
      </c>
      <c r="G1067" s="88">
        <v>5.13</v>
      </c>
      <c r="H1067" s="51">
        <f t="shared" ref="H1067:H1075" si="89">F1067*G1067</f>
        <v>25.65</v>
      </c>
    </row>
    <row r="1068" spans="2:8" x14ac:dyDescent="0.25">
      <c r="B1068" s="53" t="s">
        <v>573</v>
      </c>
      <c r="C1068" s="47" t="s">
        <v>513</v>
      </c>
      <c r="D1068" s="69" t="s">
        <v>138</v>
      </c>
      <c r="E1068" s="49" t="s">
        <v>272</v>
      </c>
      <c r="F1068" s="70">
        <v>5</v>
      </c>
      <c r="G1068" s="88">
        <v>8.24</v>
      </c>
      <c r="H1068" s="51">
        <f t="shared" si="89"/>
        <v>41.2</v>
      </c>
    </row>
    <row r="1069" spans="2:8" x14ac:dyDescent="0.25">
      <c r="B1069" s="53"/>
      <c r="C1069" s="43" t="s">
        <v>155</v>
      </c>
      <c r="D1069" s="61" t="s">
        <v>156</v>
      </c>
      <c r="E1069" s="38" t="s">
        <v>139</v>
      </c>
      <c r="F1069" s="62">
        <v>1.1399999999999999</v>
      </c>
      <c r="G1069" s="51"/>
      <c r="H1069" s="63">
        <f>(SUM(H1067:H1068))*(1+F1069)</f>
        <v>143.05899999999997</v>
      </c>
    </row>
    <row r="1070" spans="2:8" x14ac:dyDescent="0.25">
      <c r="B1070" s="79" t="s">
        <v>574</v>
      </c>
      <c r="C1070" s="47" t="s">
        <v>575</v>
      </c>
      <c r="D1070" s="69" t="s">
        <v>123</v>
      </c>
      <c r="E1070" s="49" t="s">
        <v>159</v>
      </c>
      <c r="F1070" s="51">
        <v>1</v>
      </c>
      <c r="G1070" s="88">
        <v>1.75</v>
      </c>
      <c r="H1070" s="51">
        <f t="shared" si="89"/>
        <v>1.75</v>
      </c>
    </row>
    <row r="1071" spans="2:8" x14ac:dyDescent="0.25">
      <c r="B1071" s="79" t="s">
        <v>576</v>
      </c>
      <c r="C1071" s="47" t="s">
        <v>577</v>
      </c>
      <c r="D1071" s="69" t="s">
        <v>143</v>
      </c>
      <c r="E1071" s="49" t="s">
        <v>159</v>
      </c>
      <c r="F1071" s="51">
        <v>20</v>
      </c>
      <c r="G1071" s="88">
        <v>2.4700000000000002</v>
      </c>
      <c r="H1071" s="51">
        <f t="shared" si="89"/>
        <v>49.400000000000006</v>
      </c>
    </row>
    <row r="1072" spans="2:8" x14ac:dyDescent="0.25">
      <c r="B1072" s="53" t="s">
        <v>578</v>
      </c>
      <c r="C1072" s="47" t="s">
        <v>579</v>
      </c>
      <c r="D1072" s="69" t="s">
        <v>123</v>
      </c>
      <c r="E1072" s="49" t="s">
        <v>159</v>
      </c>
      <c r="F1072" s="51">
        <v>1</v>
      </c>
      <c r="G1072" s="88">
        <v>0.76</v>
      </c>
      <c r="H1072" s="51">
        <f t="shared" si="89"/>
        <v>0.76</v>
      </c>
    </row>
    <row r="1073" spans="2:8" ht="30" x14ac:dyDescent="0.25">
      <c r="B1073" s="53" t="s">
        <v>580</v>
      </c>
      <c r="C1073" s="47" t="s">
        <v>581</v>
      </c>
      <c r="D1073" s="69" t="s">
        <v>123</v>
      </c>
      <c r="E1073" s="49" t="s">
        <v>159</v>
      </c>
      <c r="F1073" s="51">
        <v>1</v>
      </c>
      <c r="G1073" s="88">
        <v>0.83</v>
      </c>
      <c r="H1073" s="51">
        <f t="shared" si="89"/>
        <v>0.83</v>
      </c>
    </row>
    <row r="1074" spans="2:8" x14ac:dyDescent="0.25">
      <c r="B1074" s="53" t="s">
        <v>582</v>
      </c>
      <c r="C1074" s="47" t="s">
        <v>583</v>
      </c>
      <c r="D1074" s="69" t="s">
        <v>123</v>
      </c>
      <c r="E1074" s="49" t="s">
        <v>159</v>
      </c>
      <c r="F1074" s="51">
        <v>1</v>
      </c>
      <c r="G1074" s="88">
        <v>6</v>
      </c>
      <c r="H1074" s="51">
        <f t="shared" si="89"/>
        <v>6</v>
      </c>
    </row>
    <row r="1075" spans="2:8" x14ac:dyDescent="0.25">
      <c r="B1075" s="53" t="s">
        <v>933</v>
      </c>
      <c r="C1075" s="47" t="s">
        <v>584</v>
      </c>
      <c r="D1075" s="69" t="s">
        <v>143</v>
      </c>
      <c r="E1075" s="49" t="s">
        <v>159</v>
      </c>
      <c r="F1075" s="51">
        <v>40</v>
      </c>
      <c r="G1075" s="88">
        <v>0.46</v>
      </c>
      <c r="H1075" s="51">
        <f t="shared" si="89"/>
        <v>18.400000000000002</v>
      </c>
    </row>
    <row r="1076" spans="2:8" x14ac:dyDescent="0.25">
      <c r="B1076" s="52" t="s">
        <v>130</v>
      </c>
      <c r="C1076" s="192" t="s">
        <v>585</v>
      </c>
      <c r="D1076" s="192"/>
      <c r="E1076" s="192"/>
      <c r="F1076" s="192"/>
      <c r="G1076" s="192"/>
      <c r="H1076" s="192"/>
    </row>
    <row r="1079" spans="2:8" ht="15.75" x14ac:dyDescent="0.25">
      <c r="B1079" s="201" t="s">
        <v>586</v>
      </c>
      <c r="C1079" s="191"/>
      <c r="D1079" s="191"/>
      <c r="E1079" s="191"/>
      <c r="F1079" s="191"/>
      <c r="G1079" s="191"/>
      <c r="H1079" s="191"/>
    </row>
    <row r="1080" spans="2:8" x14ac:dyDescent="0.25">
      <c r="B1080" s="38" t="s">
        <v>121</v>
      </c>
      <c r="C1080" s="39" t="s">
        <v>122</v>
      </c>
      <c r="D1080" s="38" t="s">
        <v>123</v>
      </c>
      <c r="E1080" s="38" t="s">
        <v>124</v>
      </c>
      <c r="F1080" s="40" t="s">
        <v>125</v>
      </c>
      <c r="G1080" s="40" t="s">
        <v>126</v>
      </c>
      <c r="H1080" s="41" t="s">
        <v>127</v>
      </c>
    </row>
    <row r="1081" spans="2:8" x14ac:dyDescent="0.25">
      <c r="B1081" s="42"/>
      <c r="C1081" s="43" t="s">
        <v>934</v>
      </c>
      <c r="D1081" s="44" t="s">
        <v>123</v>
      </c>
      <c r="E1081" s="38" t="s">
        <v>128</v>
      </c>
      <c r="F1081" s="40"/>
      <c r="G1081" s="40"/>
      <c r="H1081" s="45">
        <f>SUM(H1084:H1088)</f>
        <v>101.53400000000001</v>
      </c>
    </row>
    <row r="1082" spans="2:8" x14ac:dyDescent="0.25">
      <c r="B1082" s="53" t="s">
        <v>800</v>
      </c>
      <c r="C1082" s="47" t="s">
        <v>832</v>
      </c>
      <c r="D1082" s="69" t="s">
        <v>138</v>
      </c>
      <c r="E1082" s="49" t="s">
        <v>272</v>
      </c>
      <c r="F1082" s="51">
        <v>2.5</v>
      </c>
      <c r="G1082" s="88">
        <v>8.24</v>
      </c>
      <c r="H1082" s="51">
        <f t="shared" ref="H1082:H1088" si="90">F1082*G1082</f>
        <v>20.6</v>
      </c>
    </row>
    <row r="1083" spans="2:8" x14ac:dyDescent="0.25">
      <c r="B1083" s="53" t="s">
        <v>702</v>
      </c>
      <c r="C1083" s="47" t="s">
        <v>703</v>
      </c>
      <c r="D1083" s="69" t="s">
        <v>138</v>
      </c>
      <c r="E1083" s="49" t="s">
        <v>272</v>
      </c>
      <c r="F1083" s="70">
        <v>2.5</v>
      </c>
      <c r="G1083">
        <v>4.8600000000000003</v>
      </c>
      <c r="H1083" s="51">
        <f>F1083*G1081</f>
        <v>0</v>
      </c>
    </row>
    <row r="1084" spans="2:8" x14ac:dyDescent="0.25">
      <c r="B1084" s="53"/>
      <c r="C1084" s="43" t="s">
        <v>155</v>
      </c>
      <c r="D1084" s="61" t="s">
        <v>156</v>
      </c>
      <c r="E1084" s="38" t="s">
        <v>139</v>
      </c>
      <c r="F1084" s="62">
        <v>1.1399999999999999</v>
      </c>
      <c r="G1084" s="51"/>
      <c r="H1084" s="63">
        <f>(SUM(H1082:H1083))*(1+F1084)</f>
        <v>44.083999999999996</v>
      </c>
    </row>
    <row r="1085" spans="2:8" x14ac:dyDescent="0.25">
      <c r="B1085" s="79" t="s">
        <v>935</v>
      </c>
      <c r="C1085" s="47" t="s">
        <v>936</v>
      </c>
      <c r="D1085" s="69" t="s">
        <v>123</v>
      </c>
      <c r="E1085" s="49" t="s">
        <v>159</v>
      </c>
      <c r="F1085" s="51">
        <v>1</v>
      </c>
      <c r="G1085" s="88">
        <v>31.12</v>
      </c>
      <c r="H1085" s="51">
        <f t="shared" si="90"/>
        <v>31.12</v>
      </c>
    </row>
    <row r="1086" spans="2:8" x14ac:dyDescent="0.25">
      <c r="B1086" s="53" t="s">
        <v>684</v>
      </c>
      <c r="C1086" s="47" t="s">
        <v>685</v>
      </c>
      <c r="D1086" s="69" t="s">
        <v>168</v>
      </c>
      <c r="E1086" s="49" t="s">
        <v>159</v>
      </c>
      <c r="F1086" s="51">
        <v>0.01</v>
      </c>
      <c r="G1086" s="88">
        <v>12</v>
      </c>
      <c r="H1086" s="51">
        <f t="shared" si="90"/>
        <v>0.12</v>
      </c>
    </row>
    <row r="1087" spans="2:8" x14ac:dyDescent="0.25">
      <c r="B1087" s="53" t="s">
        <v>937</v>
      </c>
      <c r="C1087" s="47" t="s">
        <v>938</v>
      </c>
      <c r="D1087" s="69" t="s">
        <v>143</v>
      </c>
      <c r="E1087" s="49" t="s">
        <v>159</v>
      </c>
      <c r="F1087" s="70">
        <v>10</v>
      </c>
      <c r="G1087" s="88">
        <v>2.4700000000000002</v>
      </c>
      <c r="H1087" s="51">
        <f t="shared" si="90"/>
        <v>24.700000000000003</v>
      </c>
    </row>
    <row r="1088" spans="2:8" x14ac:dyDescent="0.25">
      <c r="B1088" s="79" t="s">
        <v>848</v>
      </c>
      <c r="C1088" s="47" t="s">
        <v>850</v>
      </c>
      <c r="D1088" s="69" t="s">
        <v>123</v>
      </c>
      <c r="E1088" s="49" t="s">
        <v>159</v>
      </c>
      <c r="F1088" s="51">
        <v>1</v>
      </c>
      <c r="G1088" s="88">
        <v>1.51</v>
      </c>
      <c r="H1088" s="51">
        <f t="shared" si="90"/>
        <v>1.51</v>
      </c>
    </row>
    <row r="1089" spans="2:8" x14ac:dyDescent="0.25">
      <c r="B1089" s="52" t="s">
        <v>130</v>
      </c>
      <c r="C1089" s="195" t="s">
        <v>321</v>
      </c>
      <c r="D1089" s="196"/>
      <c r="E1089" s="196"/>
      <c r="F1089" s="196"/>
      <c r="G1089" s="196"/>
      <c r="H1089" s="197"/>
    </row>
    <row r="1092" spans="2:8" ht="15.75" x14ac:dyDescent="0.25">
      <c r="B1092" s="201" t="s">
        <v>587</v>
      </c>
      <c r="C1092" s="191"/>
      <c r="D1092" s="191"/>
      <c r="E1092" s="191"/>
      <c r="F1092" s="191"/>
      <c r="G1092" s="191"/>
      <c r="H1092" s="191"/>
    </row>
    <row r="1093" spans="2:8" x14ac:dyDescent="0.25">
      <c r="B1093" s="38" t="s">
        <v>121</v>
      </c>
      <c r="C1093" s="39" t="s">
        <v>122</v>
      </c>
      <c r="D1093" s="38" t="s">
        <v>123</v>
      </c>
      <c r="E1093" s="38" t="s">
        <v>124</v>
      </c>
      <c r="F1093" s="40" t="s">
        <v>125</v>
      </c>
      <c r="G1093" s="40" t="s">
        <v>126</v>
      </c>
      <c r="H1093" s="41" t="s">
        <v>127</v>
      </c>
    </row>
    <row r="1094" spans="2:8" ht="30" x14ac:dyDescent="0.25">
      <c r="B1094" s="42" t="s">
        <v>939</v>
      </c>
      <c r="C1094" s="43" t="s">
        <v>940</v>
      </c>
      <c r="D1094" s="44" t="s">
        <v>123</v>
      </c>
      <c r="E1094" s="38" t="s">
        <v>128</v>
      </c>
      <c r="F1094" s="40"/>
      <c r="G1094" s="40"/>
      <c r="H1094" s="45">
        <f>SUM(H1097:H1100)</f>
        <v>113.88899999999998</v>
      </c>
    </row>
    <row r="1095" spans="2:8" x14ac:dyDescent="0.25">
      <c r="B1095" s="53" t="s">
        <v>800</v>
      </c>
      <c r="C1095" s="47" t="s">
        <v>513</v>
      </c>
      <c r="D1095" s="69" t="s">
        <v>138</v>
      </c>
      <c r="E1095" s="49" t="s">
        <v>272</v>
      </c>
      <c r="F1095" s="51">
        <v>3.5</v>
      </c>
      <c r="G1095" s="88">
        <v>8.24</v>
      </c>
      <c r="H1095" s="51">
        <f t="shared" ref="H1095:H1100" si="91">F1095*G1095</f>
        <v>28.84</v>
      </c>
    </row>
    <row r="1096" spans="2:8" x14ac:dyDescent="0.25">
      <c r="B1096" s="53" t="s">
        <v>702</v>
      </c>
      <c r="C1096" s="47" t="s">
        <v>703</v>
      </c>
      <c r="D1096" s="69" t="s">
        <v>138</v>
      </c>
      <c r="E1096" s="49" t="s">
        <v>272</v>
      </c>
      <c r="F1096" s="70">
        <v>3.5</v>
      </c>
      <c r="G1096">
        <v>4.8600000000000003</v>
      </c>
      <c r="H1096" s="51">
        <f t="shared" si="91"/>
        <v>17.010000000000002</v>
      </c>
    </row>
    <row r="1097" spans="2:8" x14ac:dyDescent="0.25">
      <c r="B1097" s="53"/>
      <c r="C1097" s="43" t="s">
        <v>155</v>
      </c>
      <c r="D1097" s="61" t="s">
        <v>156</v>
      </c>
      <c r="E1097" s="38" t="s">
        <v>139</v>
      </c>
      <c r="F1097" s="62">
        <v>1.1399999999999999</v>
      </c>
      <c r="G1097" s="51"/>
      <c r="H1097" s="63">
        <f>(SUM(H1095:H1096))*(1+F1097)</f>
        <v>98.118999999999986</v>
      </c>
    </row>
    <row r="1098" spans="2:8" x14ac:dyDescent="0.25">
      <c r="B1098" s="53" t="s">
        <v>684</v>
      </c>
      <c r="C1098" s="47" t="s">
        <v>685</v>
      </c>
      <c r="D1098" s="69" t="s">
        <v>168</v>
      </c>
      <c r="E1098" s="49" t="s">
        <v>159</v>
      </c>
      <c r="F1098" s="51">
        <v>0.01</v>
      </c>
      <c r="G1098" s="88">
        <v>12</v>
      </c>
      <c r="H1098" s="51">
        <f t="shared" si="91"/>
        <v>0.12</v>
      </c>
    </row>
    <row r="1099" spans="2:8" x14ac:dyDescent="0.25">
      <c r="B1099" s="53" t="s">
        <v>941</v>
      </c>
      <c r="C1099" s="47" t="s">
        <v>942</v>
      </c>
      <c r="D1099" s="69" t="s">
        <v>123</v>
      </c>
      <c r="E1099" s="49" t="s">
        <v>159</v>
      </c>
      <c r="F1099" s="70">
        <v>1</v>
      </c>
      <c r="G1099" s="88">
        <v>0.83</v>
      </c>
      <c r="H1099" s="51">
        <f t="shared" si="91"/>
        <v>0.83</v>
      </c>
    </row>
    <row r="1100" spans="2:8" x14ac:dyDescent="0.25">
      <c r="B1100" s="79" t="s">
        <v>847</v>
      </c>
      <c r="C1100" s="47" t="s">
        <v>849</v>
      </c>
      <c r="D1100" s="69" t="s">
        <v>143</v>
      </c>
      <c r="E1100" s="49" t="s">
        <v>159</v>
      </c>
      <c r="F1100" s="51">
        <v>6</v>
      </c>
      <c r="G1100" s="88">
        <v>2.4700000000000002</v>
      </c>
      <c r="H1100" s="51">
        <f t="shared" si="91"/>
        <v>14.82</v>
      </c>
    </row>
    <row r="1101" spans="2:8" x14ac:dyDescent="0.25">
      <c r="B1101" s="52" t="s">
        <v>130</v>
      </c>
      <c r="C1101" s="195" t="s">
        <v>321</v>
      </c>
      <c r="D1101" s="196"/>
      <c r="E1101" s="196"/>
      <c r="F1101" s="196"/>
      <c r="G1101" s="196"/>
      <c r="H1101" s="197"/>
    </row>
    <row r="1104" spans="2:8" ht="15.75" x14ac:dyDescent="0.25">
      <c r="B1104" s="201" t="s">
        <v>588</v>
      </c>
      <c r="C1104" s="191"/>
      <c r="D1104" s="191"/>
      <c r="E1104" s="191"/>
      <c r="F1104" s="191"/>
      <c r="G1104" s="191"/>
      <c r="H1104" s="191"/>
    </row>
    <row r="1105" spans="2:8" x14ac:dyDescent="0.25">
      <c r="B1105" s="38" t="s">
        <v>121</v>
      </c>
      <c r="C1105" s="39" t="s">
        <v>122</v>
      </c>
      <c r="D1105" s="38" t="s">
        <v>123</v>
      </c>
      <c r="E1105" s="38" t="s">
        <v>124</v>
      </c>
      <c r="F1105" s="40" t="s">
        <v>125</v>
      </c>
      <c r="G1105" s="40" t="s">
        <v>126</v>
      </c>
      <c r="H1105" s="41" t="s">
        <v>127</v>
      </c>
    </row>
    <row r="1106" spans="2:8" x14ac:dyDescent="0.25">
      <c r="B1106" s="42" t="s">
        <v>943</v>
      </c>
      <c r="C1106" s="43" t="s">
        <v>944</v>
      </c>
      <c r="D1106" s="44" t="s">
        <v>123</v>
      </c>
      <c r="E1106" s="38" t="s">
        <v>128</v>
      </c>
      <c r="F1106" s="40"/>
      <c r="G1106" s="40"/>
      <c r="H1106" s="45">
        <f>SUM(H1109:H1110)</f>
        <v>252.2338</v>
      </c>
    </row>
    <row r="1107" spans="2:8" x14ac:dyDescent="0.25">
      <c r="B1107" s="53" t="s">
        <v>867</v>
      </c>
      <c r="C1107" s="47" t="s">
        <v>986</v>
      </c>
      <c r="D1107" s="69" t="s">
        <v>138</v>
      </c>
      <c r="E1107" s="49" t="s">
        <v>272</v>
      </c>
      <c r="F1107" s="49">
        <v>1</v>
      </c>
      <c r="G1107" s="88">
        <v>8.24</v>
      </c>
      <c r="H1107" s="51">
        <f t="shared" ref="H1107:H1110" si="92">F1107*G1107</f>
        <v>8.24</v>
      </c>
    </row>
    <row r="1108" spans="2:8" x14ac:dyDescent="0.25">
      <c r="B1108" s="53" t="s">
        <v>656</v>
      </c>
      <c r="C1108" s="47" t="s">
        <v>226</v>
      </c>
      <c r="D1108" s="69" t="s">
        <v>138</v>
      </c>
      <c r="E1108" s="49" t="s">
        <v>272</v>
      </c>
      <c r="F1108" s="49">
        <v>0.5</v>
      </c>
      <c r="G1108" s="88">
        <v>4.8600000000000003</v>
      </c>
      <c r="H1108" s="51">
        <f t="shared" si="92"/>
        <v>2.4300000000000002</v>
      </c>
    </row>
    <row r="1109" spans="2:8" x14ac:dyDescent="0.25">
      <c r="B1109" s="53"/>
      <c r="C1109" s="43" t="s">
        <v>155</v>
      </c>
      <c r="D1109" s="61" t="s">
        <v>156</v>
      </c>
      <c r="E1109" s="38" t="s">
        <v>139</v>
      </c>
      <c r="F1109" s="62">
        <v>1.1399999999999999</v>
      </c>
      <c r="G1109" s="51"/>
      <c r="H1109" s="63">
        <f>(SUM(H1107:H1108))*(1+F1109)</f>
        <v>22.833799999999997</v>
      </c>
    </row>
    <row r="1110" spans="2:8" ht="45" x14ac:dyDescent="0.25">
      <c r="B1110" s="79" t="s">
        <v>945</v>
      </c>
      <c r="C1110" s="47" t="s">
        <v>946</v>
      </c>
      <c r="D1110" s="69" t="s">
        <v>123</v>
      </c>
      <c r="E1110" s="49" t="s">
        <v>159</v>
      </c>
      <c r="F1110" s="49">
        <v>1</v>
      </c>
      <c r="G1110" s="88">
        <v>229.4</v>
      </c>
      <c r="H1110" s="51">
        <f t="shared" si="92"/>
        <v>229.4</v>
      </c>
    </row>
    <row r="1111" spans="2:8" x14ac:dyDescent="0.25">
      <c r="B1111" s="52" t="s">
        <v>130</v>
      </c>
      <c r="C1111" s="195" t="s">
        <v>232</v>
      </c>
      <c r="D1111" s="196"/>
      <c r="E1111" s="196"/>
      <c r="F1111" s="196"/>
      <c r="G1111" s="196"/>
      <c r="H1111" s="197"/>
    </row>
    <row r="1114" spans="2:8" ht="15.75" x14ac:dyDescent="0.25">
      <c r="B1114" s="201" t="s">
        <v>589</v>
      </c>
      <c r="C1114" s="191"/>
      <c r="D1114" s="191"/>
      <c r="E1114" s="191"/>
      <c r="F1114" s="191"/>
      <c r="G1114" s="191"/>
      <c r="H1114" s="191"/>
    </row>
    <row r="1115" spans="2:8" x14ac:dyDescent="0.25">
      <c r="B1115" s="38" t="s">
        <v>121</v>
      </c>
      <c r="C1115" s="39" t="s">
        <v>122</v>
      </c>
      <c r="D1115" s="38" t="s">
        <v>123</v>
      </c>
      <c r="E1115" s="38" t="s">
        <v>124</v>
      </c>
      <c r="F1115" s="40" t="s">
        <v>125</v>
      </c>
      <c r="G1115" s="40" t="s">
        <v>126</v>
      </c>
      <c r="H1115" s="41" t="s">
        <v>127</v>
      </c>
    </row>
    <row r="1116" spans="2:8" x14ac:dyDescent="0.25">
      <c r="B1116" s="42" t="s">
        <v>590</v>
      </c>
      <c r="C1116" s="43" t="s">
        <v>591</v>
      </c>
      <c r="D1116" s="44" t="s">
        <v>123</v>
      </c>
      <c r="E1116" s="38" t="s">
        <v>128</v>
      </c>
      <c r="F1116" s="40"/>
      <c r="G1116" s="40"/>
      <c r="H1116" s="45">
        <f>SUM(H1119:H1121)</f>
        <v>130.17359999999999</v>
      </c>
    </row>
    <row r="1117" spans="2:8" x14ac:dyDescent="0.25">
      <c r="B1117" s="53" t="s">
        <v>225</v>
      </c>
      <c r="C1117" s="47" t="s">
        <v>153</v>
      </c>
      <c r="D1117" s="69" t="s">
        <v>138</v>
      </c>
      <c r="E1117" s="49" t="s">
        <v>272</v>
      </c>
      <c r="F1117" s="51">
        <v>0.4</v>
      </c>
      <c r="G1117" s="88">
        <v>8.24</v>
      </c>
      <c r="H1117" s="51">
        <f t="shared" ref="H1117:H1121" si="93">F1117*G1117</f>
        <v>3.2960000000000003</v>
      </c>
    </row>
    <row r="1118" spans="2:8" x14ac:dyDescent="0.25">
      <c r="B1118" s="53" t="s">
        <v>154</v>
      </c>
      <c r="C1118" s="47" t="s">
        <v>226</v>
      </c>
      <c r="D1118" s="69" t="s">
        <v>138</v>
      </c>
      <c r="E1118" s="49" t="s">
        <v>272</v>
      </c>
      <c r="F1118" s="51">
        <v>0.4</v>
      </c>
      <c r="G1118" s="88">
        <v>4.8600000000000003</v>
      </c>
      <c r="H1118" s="51">
        <f t="shared" si="93"/>
        <v>1.9440000000000002</v>
      </c>
    </row>
    <row r="1119" spans="2:8" x14ac:dyDescent="0.25">
      <c r="B1119" s="53"/>
      <c r="C1119" s="43" t="s">
        <v>155</v>
      </c>
      <c r="D1119" s="61" t="s">
        <v>156</v>
      </c>
      <c r="E1119" s="38" t="s">
        <v>139</v>
      </c>
      <c r="F1119" s="62">
        <v>1.1399999999999999</v>
      </c>
      <c r="G1119" s="51"/>
      <c r="H1119" s="63">
        <f>(SUM(H1117:H1118))*(1+F1119)</f>
        <v>11.2136</v>
      </c>
    </row>
    <row r="1120" spans="2:8" ht="30" x14ac:dyDescent="0.25">
      <c r="B1120" s="53" t="s">
        <v>592</v>
      </c>
      <c r="C1120" s="47" t="s">
        <v>593</v>
      </c>
      <c r="D1120" s="69" t="s">
        <v>123</v>
      </c>
      <c r="E1120" s="49" t="s">
        <v>159</v>
      </c>
      <c r="F1120" s="70">
        <v>2</v>
      </c>
      <c r="G1120" s="88">
        <v>0.25</v>
      </c>
      <c r="H1120" s="51">
        <f t="shared" si="93"/>
        <v>0.5</v>
      </c>
    </row>
    <row r="1121" spans="2:8" x14ac:dyDescent="0.25">
      <c r="B1121" s="79" t="s">
        <v>594</v>
      </c>
      <c r="C1121" s="47" t="s">
        <v>595</v>
      </c>
      <c r="D1121" s="69" t="s">
        <v>123</v>
      </c>
      <c r="E1121" s="49" t="s">
        <v>159</v>
      </c>
      <c r="F1121" s="51">
        <v>1</v>
      </c>
      <c r="G1121" s="88">
        <v>118.46</v>
      </c>
      <c r="H1121" s="51">
        <f t="shared" si="93"/>
        <v>118.46</v>
      </c>
    </row>
    <row r="1122" spans="2:8" x14ac:dyDescent="0.25">
      <c r="B1122" s="52" t="s">
        <v>130</v>
      </c>
      <c r="C1122" s="195" t="s">
        <v>131</v>
      </c>
      <c r="D1122" s="196"/>
      <c r="E1122" s="196"/>
      <c r="F1122" s="196"/>
      <c r="G1122" s="196"/>
      <c r="H1122" s="197"/>
    </row>
    <row r="1125" spans="2:8" ht="15.75" x14ac:dyDescent="0.25">
      <c r="B1125" s="193" t="s">
        <v>596</v>
      </c>
      <c r="C1125" s="194"/>
      <c r="D1125" s="194"/>
      <c r="E1125" s="194"/>
      <c r="F1125" s="194"/>
      <c r="G1125" s="194"/>
      <c r="H1125" s="194"/>
    </row>
    <row r="1126" spans="2:8" x14ac:dyDescent="0.25">
      <c r="B1126" s="38" t="s">
        <v>121</v>
      </c>
      <c r="C1126" s="39" t="s">
        <v>122</v>
      </c>
      <c r="D1126" s="38" t="s">
        <v>123</v>
      </c>
      <c r="E1126" s="38" t="s">
        <v>124</v>
      </c>
      <c r="F1126" s="40" t="s">
        <v>125</v>
      </c>
      <c r="G1126" s="40" t="s">
        <v>126</v>
      </c>
      <c r="H1126" s="41" t="s">
        <v>127</v>
      </c>
    </row>
    <row r="1127" spans="2:8" ht="30" x14ac:dyDescent="0.25">
      <c r="B1127" s="42" t="s">
        <v>947</v>
      </c>
      <c r="C1127" s="43" t="s">
        <v>948</v>
      </c>
      <c r="D1127" s="44" t="s">
        <v>123</v>
      </c>
      <c r="E1127" s="38" t="s">
        <v>128</v>
      </c>
      <c r="F1127" s="40"/>
      <c r="G1127" s="40"/>
      <c r="H1127" s="45">
        <f>SUM(H1129:H1130)</f>
        <v>19.43008</v>
      </c>
    </row>
    <row r="1128" spans="2:8" x14ac:dyDescent="0.25">
      <c r="B1128" s="53" t="s">
        <v>702</v>
      </c>
      <c r="C1128" s="47" t="s">
        <v>703</v>
      </c>
      <c r="D1128" s="69" t="s">
        <v>597</v>
      </c>
      <c r="E1128" s="49" t="s">
        <v>272</v>
      </c>
      <c r="F1128" s="51">
        <v>0.2</v>
      </c>
      <c r="G1128" s="88">
        <v>4.8600000000000003</v>
      </c>
      <c r="H1128" s="51">
        <f t="shared" ref="H1128:H1130" si="94">F1128*G1128</f>
        <v>0.97200000000000009</v>
      </c>
    </row>
    <row r="1129" spans="2:8" x14ac:dyDescent="0.25">
      <c r="B1129" s="53"/>
      <c r="C1129" s="43" t="s">
        <v>155</v>
      </c>
      <c r="D1129" s="61" t="s">
        <v>156</v>
      </c>
      <c r="E1129" s="38" t="s">
        <v>139</v>
      </c>
      <c r="F1129" s="62">
        <v>1.1399999999999999</v>
      </c>
      <c r="G1129" s="51"/>
      <c r="H1129" s="63">
        <f>(H1128)*(1+F1129)</f>
        <v>2.0800799999999997</v>
      </c>
    </row>
    <row r="1130" spans="2:8" ht="30" x14ac:dyDescent="0.25">
      <c r="B1130" s="53" t="s">
        <v>949</v>
      </c>
      <c r="C1130" s="47" t="s">
        <v>948</v>
      </c>
      <c r="D1130" s="69" t="s">
        <v>123</v>
      </c>
      <c r="E1130" s="49" t="s">
        <v>159</v>
      </c>
      <c r="F1130" s="70">
        <v>1</v>
      </c>
      <c r="G1130" s="88">
        <v>17.350000000000001</v>
      </c>
      <c r="H1130" s="51">
        <f t="shared" si="94"/>
        <v>17.350000000000001</v>
      </c>
    </row>
    <row r="1131" spans="2:8" x14ac:dyDescent="0.25">
      <c r="B1131" s="52" t="s">
        <v>130</v>
      </c>
      <c r="C1131" s="195" t="s">
        <v>321</v>
      </c>
      <c r="D1131" s="196"/>
      <c r="E1131" s="196"/>
      <c r="F1131" s="196"/>
      <c r="G1131" s="196"/>
      <c r="H1131" s="197"/>
    </row>
    <row r="1134" spans="2:8" ht="15.75" x14ac:dyDescent="0.25">
      <c r="B1134" s="193" t="s">
        <v>598</v>
      </c>
      <c r="C1134" s="194"/>
      <c r="D1134" s="194"/>
      <c r="E1134" s="194"/>
      <c r="F1134" s="194"/>
      <c r="G1134" s="194"/>
      <c r="H1134" s="194"/>
    </row>
    <row r="1135" spans="2:8" x14ac:dyDescent="0.25">
      <c r="B1135" s="38" t="s">
        <v>121</v>
      </c>
      <c r="C1135" s="39" t="s">
        <v>122</v>
      </c>
      <c r="D1135" s="38" t="s">
        <v>123</v>
      </c>
      <c r="E1135" s="38" t="s">
        <v>124</v>
      </c>
      <c r="F1135" s="40" t="s">
        <v>125</v>
      </c>
      <c r="G1135" s="40" t="s">
        <v>126</v>
      </c>
      <c r="H1135" s="41" t="s">
        <v>127</v>
      </c>
    </row>
    <row r="1136" spans="2:8" x14ac:dyDescent="0.25">
      <c r="B1136" s="42" t="s">
        <v>599</v>
      </c>
      <c r="C1136" s="43" t="s">
        <v>600</v>
      </c>
      <c r="D1136" s="44" t="s">
        <v>123</v>
      </c>
      <c r="E1136" s="38" t="s">
        <v>128</v>
      </c>
      <c r="F1136" s="40"/>
      <c r="G1136" s="40"/>
      <c r="H1136" s="45">
        <f>SUM(H1139:H1144)</f>
        <v>526.26781999999992</v>
      </c>
    </row>
    <row r="1137" spans="2:8" x14ac:dyDescent="0.25">
      <c r="B1137" s="53" t="s">
        <v>601</v>
      </c>
      <c r="C1137" s="47" t="s">
        <v>530</v>
      </c>
      <c r="D1137" s="69" t="s">
        <v>138</v>
      </c>
      <c r="E1137" s="49" t="s">
        <v>272</v>
      </c>
      <c r="F1137" s="57">
        <f>3.5+1.4</f>
        <v>4.9000000000000004</v>
      </c>
      <c r="G1137" s="88">
        <v>5.13</v>
      </c>
      <c r="H1137" s="51">
        <f t="shared" ref="H1137:H1144" si="95">F1137*G1137</f>
        <v>25.137</v>
      </c>
    </row>
    <row r="1138" spans="2:8" x14ac:dyDescent="0.25">
      <c r="B1138" s="53" t="s">
        <v>602</v>
      </c>
      <c r="C1138" s="47" t="s">
        <v>547</v>
      </c>
      <c r="D1138" s="69" t="s">
        <v>138</v>
      </c>
      <c r="E1138" s="49" t="s">
        <v>272</v>
      </c>
      <c r="F1138" s="57">
        <f>3.5+1.4</f>
        <v>4.9000000000000004</v>
      </c>
      <c r="G1138" s="88">
        <v>8.24</v>
      </c>
      <c r="H1138" s="51">
        <f t="shared" si="95"/>
        <v>40.376000000000005</v>
      </c>
    </row>
    <row r="1139" spans="2:8" x14ac:dyDescent="0.25">
      <c r="B1139" s="53"/>
      <c r="C1139" s="43" t="s">
        <v>155</v>
      </c>
      <c r="D1139" s="61" t="s">
        <v>156</v>
      </c>
      <c r="E1139" s="38" t="s">
        <v>139</v>
      </c>
      <c r="F1139" s="62">
        <v>1.1399999999999999</v>
      </c>
      <c r="G1139" s="51"/>
      <c r="H1139" s="63">
        <f>(SUM(H1137:H1138))*(1+F1139)</f>
        <v>140.19781999999998</v>
      </c>
    </row>
    <row r="1140" spans="2:8" x14ac:dyDescent="0.25">
      <c r="B1140" s="53" t="s">
        <v>603</v>
      </c>
      <c r="C1140" s="47" t="s">
        <v>604</v>
      </c>
      <c r="D1140" s="69" t="s">
        <v>143</v>
      </c>
      <c r="E1140" s="49" t="s">
        <v>159</v>
      </c>
      <c r="F1140" s="83">
        <f>1.13+0.94</f>
        <v>2.0699999999999998</v>
      </c>
      <c r="G1140" s="88">
        <v>3.6</v>
      </c>
      <c r="H1140" s="51"/>
    </row>
    <row r="1141" spans="2:8" ht="30" x14ac:dyDescent="0.25">
      <c r="B1141" s="79" t="s">
        <v>605</v>
      </c>
      <c r="C1141" s="47" t="s">
        <v>606</v>
      </c>
      <c r="D1141" s="69" t="s">
        <v>123</v>
      </c>
      <c r="E1141" s="49" t="s">
        <v>159</v>
      </c>
      <c r="F1141" s="51">
        <v>1</v>
      </c>
      <c r="G1141" s="88">
        <v>132.29</v>
      </c>
      <c r="H1141" s="51">
        <f t="shared" si="95"/>
        <v>132.29</v>
      </c>
    </row>
    <row r="1142" spans="2:8" ht="30" x14ac:dyDescent="0.25">
      <c r="B1142" s="53" t="s">
        <v>607</v>
      </c>
      <c r="C1142" s="47" t="s">
        <v>608</v>
      </c>
      <c r="D1142" s="69" t="s">
        <v>123</v>
      </c>
      <c r="E1142" s="49" t="s">
        <v>159</v>
      </c>
      <c r="F1142" s="51">
        <v>1</v>
      </c>
      <c r="G1142" s="88">
        <v>35.51</v>
      </c>
      <c r="H1142" s="51">
        <f t="shared" si="95"/>
        <v>35.51</v>
      </c>
    </row>
    <row r="1143" spans="2:8" x14ac:dyDescent="0.25">
      <c r="B1143" s="53" t="s">
        <v>609</v>
      </c>
      <c r="C1143" s="47" t="s">
        <v>610</v>
      </c>
      <c r="D1143" s="69" t="s">
        <v>123</v>
      </c>
      <c r="E1143" s="49" t="s">
        <v>159</v>
      </c>
      <c r="F1143" s="70">
        <v>1</v>
      </c>
      <c r="G1143" s="88">
        <v>177.2</v>
      </c>
      <c r="H1143" s="51">
        <f t="shared" si="95"/>
        <v>177.2</v>
      </c>
    </row>
    <row r="1144" spans="2:8" x14ac:dyDescent="0.25">
      <c r="B1144" s="53" t="s">
        <v>611</v>
      </c>
      <c r="C1144" s="47" t="s">
        <v>612</v>
      </c>
      <c r="D1144" s="69" t="s">
        <v>123</v>
      </c>
      <c r="E1144" s="49" t="s">
        <v>159</v>
      </c>
      <c r="F1144" s="70">
        <v>1</v>
      </c>
      <c r="G1144" s="88">
        <v>41.07</v>
      </c>
      <c r="H1144" s="51">
        <f t="shared" si="95"/>
        <v>41.07</v>
      </c>
    </row>
    <row r="1145" spans="2:8" x14ac:dyDescent="0.25">
      <c r="B1145" s="52" t="s">
        <v>130</v>
      </c>
      <c r="C1145" s="195" t="s">
        <v>613</v>
      </c>
      <c r="D1145" s="196"/>
      <c r="E1145" s="196"/>
      <c r="F1145" s="196"/>
      <c r="G1145" s="196"/>
      <c r="H1145" s="197"/>
    </row>
    <row r="1148" spans="2:8" ht="15.75" x14ac:dyDescent="0.25">
      <c r="B1148" s="193" t="s">
        <v>614</v>
      </c>
      <c r="C1148" s="194"/>
      <c r="D1148" s="194"/>
      <c r="E1148" s="194"/>
      <c r="F1148" s="194"/>
      <c r="G1148" s="194"/>
      <c r="H1148" s="194"/>
    </row>
    <row r="1149" spans="2:8" x14ac:dyDescent="0.25">
      <c r="B1149" s="38" t="s">
        <v>121</v>
      </c>
      <c r="C1149" s="39" t="s">
        <v>122</v>
      </c>
      <c r="D1149" s="38" t="s">
        <v>123</v>
      </c>
      <c r="E1149" s="38" t="s">
        <v>124</v>
      </c>
      <c r="F1149" s="40" t="s">
        <v>125</v>
      </c>
      <c r="G1149" s="40" t="s">
        <v>126</v>
      </c>
      <c r="H1149" s="41" t="s">
        <v>127</v>
      </c>
    </row>
    <row r="1150" spans="2:8" ht="45" x14ac:dyDescent="0.25">
      <c r="B1150" s="42" t="s">
        <v>950</v>
      </c>
      <c r="C1150" s="43" t="s">
        <v>951</v>
      </c>
      <c r="D1150" s="44" t="s">
        <v>123</v>
      </c>
      <c r="E1150" s="38" t="s">
        <v>128</v>
      </c>
      <c r="F1150" s="40"/>
      <c r="G1150" s="40"/>
      <c r="H1150" s="45">
        <f>SUM(H1151:H1154)</f>
        <v>186</v>
      </c>
    </row>
    <row r="1151" spans="2:8" ht="30" x14ac:dyDescent="0.25">
      <c r="B1151" s="53" t="s">
        <v>952</v>
      </c>
      <c r="C1151" s="47" t="s">
        <v>953</v>
      </c>
      <c r="D1151" s="69" t="s">
        <v>123</v>
      </c>
      <c r="E1151" s="49" t="s">
        <v>128</v>
      </c>
      <c r="F1151" s="51">
        <v>1</v>
      </c>
      <c r="G1151" s="88">
        <v>155.12</v>
      </c>
      <c r="H1151" s="51">
        <f t="shared" ref="H1151:H1154" si="96">F1151*G1151</f>
        <v>155.12</v>
      </c>
    </row>
    <row r="1152" spans="2:8" ht="30" x14ac:dyDescent="0.25">
      <c r="B1152" s="53" t="s">
        <v>954</v>
      </c>
      <c r="C1152" s="47" t="s">
        <v>955</v>
      </c>
      <c r="D1152" s="69" t="s">
        <v>123</v>
      </c>
      <c r="E1152" s="49" t="s">
        <v>128</v>
      </c>
      <c r="F1152" s="51">
        <v>1</v>
      </c>
      <c r="G1152" s="88">
        <v>5.53</v>
      </c>
      <c r="H1152" s="51">
        <f t="shared" si="96"/>
        <v>5.53</v>
      </c>
    </row>
    <row r="1153" spans="2:8" x14ac:dyDescent="0.25">
      <c r="B1153" s="53" t="s">
        <v>956</v>
      </c>
      <c r="C1153" s="47" t="s">
        <v>957</v>
      </c>
      <c r="D1153" s="69" t="s">
        <v>123</v>
      </c>
      <c r="E1153" s="49" t="s">
        <v>128</v>
      </c>
      <c r="F1153" s="70">
        <v>1</v>
      </c>
      <c r="G1153" s="88">
        <v>9.26</v>
      </c>
      <c r="H1153" s="51">
        <f t="shared" si="96"/>
        <v>9.26</v>
      </c>
    </row>
    <row r="1154" spans="2:8" ht="30" x14ac:dyDescent="0.25">
      <c r="B1154" s="79" t="s">
        <v>958</v>
      </c>
      <c r="C1154" s="47" t="s">
        <v>959</v>
      </c>
      <c r="D1154" s="69" t="s">
        <v>123</v>
      </c>
      <c r="E1154" s="49" t="s">
        <v>128</v>
      </c>
      <c r="F1154" s="51">
        <v>1</v>
      </c>
      <c r="G1154" s="88">
        <v>16.09</v>
      </c>
      <c r="H1154" s="51">
        <f t="shared" si="96"/>
        <v>16.09</v>
      </c>
    </row>
    <row r="1155" spans="2:8" x14ac:dyDescent="0.25">
      <c r="B1155" s="52" t="s">
        <v>130</v>
      </c>
      <c r="C1155" s="195" t="s">
        <v>232</v>
      </c>
      <c r="D1155" s="196"/>
      <c r="E1155" s="196"/>
      <c r="F1155" s="196"/>
      <c r="G1155" s="196"/>
      <c r="H1155" s="197"/>
    </row>
    <row r="1158" spans="2:8" ht="15.75" customHeight="1" x14ac:dyDescent="0.25">
      <c r="B1158" s="193" t="s">
        <v>615</v>
      </c>
      <c r="C1158" s="194"/>
      <c r="D1158" s="194"/>
      <c r="E1158" s="194"/>
      <c r="F1158" s="194"/>
      <c r="G1158" s="194"/>
      <c r="H1158" s="194"/>
    </row>
    <row r="1159" spans="2:8" x14ac:dyDescent="0.25">
      <c r="B1159" s="38" t="s">
        <v>121</v>
      </c>
      <c r="C1159" s="39" t="s">
        <v>122</v>
      </c>
      <c r="D1159" s="38" t="s">
        <v>123</v>
      </c>
      <c r="E1159" s="38" t="s">
        <v>124</v>
      </c>
      <c r="F1159" s="40" t="s">
        <v>125</v>
      </c>
      <c r="G1159" s="40" t="s">
        <v>126</v>
      </c>
      <c r="H1159" s="41" t="s">
        <v>127</v>
      </c>
    </row>
    <row r="1160" spans="2:8" x14ac:dyDescent="0.25">
      <c r="B1160" s="42" t="s">
        <v>616</v>
      </c>
      <c r="C1160" s="43" t="s">
        <v>617</v>
      </c>
      <c r="D1160" s="44" t="s">
        <v>123</v>
      </c>
      <c r="E1160" s="38" t="s">
        <v>128</v>
      </c>
      <c r="F1160" s="40"/>
      <c r="G1160" s="40"/>
      <c r="H1160" s="45">
        <f>SUM(H1163:H1171)</f>
        <v>275.09645</v>
      </c>
    </row>
    <row r="1161" spans="2:8" x14ac:dyDescent="0.25">
      <c r="B1161" s="53" t="s">
        <v>601</v>
      </c>
      <c r="C1161" s="47" t="s">
        <v>530</v>
      </c>
      <c r="D1161" s="69" t="s">
        <v>138</v>
      </c>
      <c r="E1161" s="49" t="s">
        <v>272</v>
      </c>
      <c r="F1161" s="51">
        <v>2.75</v>
      </c>
      <c r="G1161" s="88">
        <v>5.13</v>
      </c>
      <c r="H1161" s="51">
        <f t="shared" ref="H1161:H1171" si="97">F1161*G1161</f>
        <v>14.1075</v>
      </c>
    </row>
    <row r="1162" spans="2:8" x14ac:dyDescent="0.25">
      <c r="B1162" s="53" t="s">
        <v>602</v>
      </c>
      <c r="C1162" s="47" t="s">
        <v>547</v>
      </c>
      <c r="D1162" s="69" t="s">
        <v>138</v>
      </c>
      <c r="E1162" s="49" t="s">
        <v>272</v>
      </c>
      <c r="F1162" s="70">
        <v>2.75</v>
      </c>
      <c r="G1162" s="88">
        <v>8.24</v>
      </c>
      <c r="H1162" s="51">
        <f t="shared" si="97"/>
        <v>22.66</v>
      </c>
    </row>
    <row r="1163" spans="2:8" x14ac:dyDescent="0.25">
      <c r="B1163" s="53"/>
      <c r="C1163" s="43" t="s">
        <v>155</v>
      </c>
      <c r="D1163" s="61" t="s">
        <v>156</v>
      </c>
      <c r="E1163" s="38" t="s">
        <v>139</v>
      </c>
      <c r="F1163" s="62">
        <v>1.1399999999999999</v>
      </c>
      <c r="G1163" s="51"/>
      <c r="H1163" s="63">
        <f>(SUM(H1161:H1162))*(1+F1163)</f>
        <v>78.682449999999989</v>
      </c>
    </row>
    <row r="1164" spans="2:8" x14ac:dyDescent="0.25">
      <c r="B1164" s="53" t="s">
        <v>618</v>
      </c>
      <c r="C1164" s="47" t="s">
        <v>619</v>
      </c>
      <c r="D1164" s="69" t="s">
        <v>123</v>
      </c>
      <c r="E1164" s="49" t="s">
        <v>159</v>
      </c>
      <c r="F1164" s="70">
        <v>2</v>
      </c>
      <c r="G1164" s="93">
        <f>8.99/4</f>
        <v>2.2475000000000001</v>
      </c>
      <c r="H1164" s="51"/>
    </row>
    <row r="1165" spans="2:8" ht="30" x14ac:dyDescent="0.25">
      <c r="B1165" s="79" t="s">
        <v>620</v>
      </c>
      <c r="C1165" s="47" t="s">
        <v>621</v>
      </c>
      <c r="D1165" s="69" t="s">
        <v>123</v>
      </c>
      <c r="E1165" s="49" t="s">
        <v>159</v>
      </c>
      <c r="F1165" s="51">
        <v>2</v>
      </c>
      <c r="G1165" s="88">
        <v>0.22</v>
      </c>
      <c r="H1165" s="51">
        <f t="shared" si="97"/>
        <v>0.44</v>
      </c>
    </row>
    <row r="1166" spans="2:8" x14ac:dyDescent="0.25">
      <c r="B1166" s="53" t="s">
        <v>603</v>
      </c>
      <c r="C1166" s="47" t="s">
        <v>604</v>
      </c>
      <c r="D1166" s="69" t="s">
        <v>143</v>
      </c>
      <c r="E1166" s="49" t="s">
        <v>159</v>
      </c>
      <c r="F1166" s="51">
        <v>0.84</v>
      </c>
      <c r="G1166" s="88">
        <v>3.6</v>
      </c>
      <c r="H1166" s="51">
        <f t="shared" si="97"/>
        <v>3.024</v>
      </c>
    </row>
    <row r="1167" spans="2:8" ht="30" x14ac:dyDescent="0.25">
      <c r="B1167" s="53" t="s">
        <v>622</v>
      </c>
      <c r="C1167" s="47" t="s">
        <v>623</v>
      </c>
      <c r="D1167" s="69" t="s">
        <v>123</v>
      </c>
      <c r="E1167" s="49" t="s">
        <v>159</v>
      </c>
      <c r="F1167" s="70">
        <v>1</v>
      </c>
      <c r="G1167" s="88">
        <v>9.26</v>
      </c>
      <c r="H1167" s="51">
        <f t="shared" si="97"/>
        <v>9.26</v>
      </c>
    </row>
    <row r="1168" spans="2:8" x14ac:dyDescent="0.25">
      <c r="B1168" s="79" t="s">
        <v>624</v>
      </c>
      <c r="C1168" s="47" t="s">
        <v>625</v>
      </c>
      <c r="D1168" s="69" t="s">
        <v>123</v>
      </c>
      <c r="E1168" s="49" t="s">
        <v>159</v>
      </c>
      <c r="F1168" s="51">
        <v>1</v>
      </c>
      <c r="G1168" s="88">
        <v>5.53</v>
      </c>
      <c r="H1168" s="51">
        <f t="shared" si="97"/>
        <v>5.53</v>
      </c>
    </row>
    <row r="1169" spans="2:8" ht="30" x14ac:dyDescent="0.25">
      <c r="B1169" s="53" t="s">
        <v>626</v>
      </c>
      <c r="C1169" s="47" t="s">
        <v>627</v>
      </c>
      <c r="D1169" s="69" t="s">
        <v>123</v>
      </c>
      <c r="E1169" s="49" t="s">
        <v>159</v>
      </c>
      <c r="F1169" s="51">
        <v>1</v>
      </c>
      <c r="G1169" s="88">
        <v>23.84</v>
      </c>
      <c r="H1169" s="51">
        <f t="shared" si="97"/>
        <v>23.84</v>
      </c>
    </row>
    <row r="1170" spans="2:8" x14ac:dyDescent="0.25">
      <c r="B1170" s="53" t="s">
        <v>628</v>
      </c>
      <c r="C1170" s="47" t="s">
        <v>629</v>
      </c>
      <c r="D1170" s="69" t="s">
        <v>123</v>
      </c>
      <c r="E1170" s="49" t="s">
        <v>159</v>
      </c>
      <c r="F1170" s="70">
        <v>1</v>
      </c>
      <c r="G1170" s="88">
        <v>85.53</v>
      </c>
      <c r="H1170" s="51">
        <f t="shared" si="97"/>
        <v>85.53</v>
      </c>
    </row>
    <row r="1171" spans="2:8" x14ac:dyDescent="0.25">
      <c r="B1171" s="79" t="s">
        <v>630</v>
      </c>
      <c r="C1171" s="47" t="s">
        <v>631</v>
      </c>
      <c r="D1171" s="69" t="s">
        <v>123</v>
      </c>
      <c r="E1171" s="49" t="s">
        <v>159</v>
      </c>
      <c r="F1171" s="51">
        <v>1</v>
      </c>
      <c r="G1171" s="88">
        <v>68.790000000000006</v>
      </c>
      <c r="H1171" s="51">
        <f t="shared" si="97"/>
        <v>68.790000000000006</v>
      </c>
    </row>
    <row r="1172" spans="2:8" x14ac:dyDescent="0.25">
      <c r="B1172" s="52" t="s">
        <v>130</v>
      </c>
      <c r="C1172" s="195" t="s">
        <v>131</v>
      </c>
      <c r="D1172" s="196"/>
      <c r="E1172" s="196"/>
      <c r="F1172" s="196"/>
      <c r="G1172" s="196"/>
      <c r="H1172" s="197"/>
    </row>
    <row r="1175" spans="2:8" ht="15.75" customHeight="1" x14ac:dyDescent="0.25">
      <c r="B1175" s="193" t="s">
        <v>632</v>
      </c>
      <c r="C1175" s="194"/>
      <c r="D1175" s="194"/>
      <c r="E1175" s="194"/>
      <c r="F1175" s="194"/>
      <c r="G1175" s="194"/>
      <c r="H1175" s="194"/>
    </row>
    <row r="1176" spans="2:8" x14ac:dyDescent="0.25">
      <c r="B1176" s="38" t="s">
        <v>121</v>
      </c>
      <c r="C1176" s="39" t="s">
        <v>122</v>
      </c>
      <c r="D1176" s="38" t="s">
        <v>123</v>
      </c>
      <c r="E1176" s="38" t="s">
        <v>124</v>
      </c>
      <c r="F1176" s="40" t="s">
        <v>125</v>
      </c>
      <c r="G1176" s="40" t="s">
        <v>126</v>
      </c>
      <c r="H1176" s="41" t="s">
        <v>127</v>
      </c>
    </row>
    <row r="1177" spans="2:8" x14ac:dyDescent="0.25">
      <c r="B1177" s="42" t="s">
        <v>633</v>
      </c>
      <c r="C1177" s="43" t="s">
        <v>634</v>
      </c>
      <c r="D1177" s="44" t="s">
        <v>123</v>
      </c>
      <c r="E1177" s="38" t="s">
        <v>128</v>
      </c>
      <c r="F1177" s="40"/>
      <c r="G1177" s="40"/>
      <c r="H1177" s="45">
        <f>SUM(H1180:H1188)</f>
        <v>445.33339999999998</v>
      </c>
    </row>
    <row r="1178" spans="2:8" x14ac:dyDescent="0.25">
      <c r="B1178" s="53" t="s">
        <v>635</v>
      </c>
      <c r="C1178" s="47" t="s">
        <v>530</v>
      </c>
      <c r="D1178" s="69" t="s">
        <v>138</v>
      </c>
      <c r="E1178" s="49" t="s">
        <v>272</v>
      </c>
      <c r="F1178" s="51">
        <v>3</v>
      </c>
      <c r="G1178" s="88">
        <v>5.13</v>
      </c>
      <c r="H1178" s="51">
        <f t="shared" ref="H1178:H1188" si="98">F1178*G1178</f>
        <v>15.39</v>
      </c>
    </row>
    <row r="1179" spans="2:8" x14ac:dyDescent="0.25">
      <c r="B1179" s="53" t="s">
        <v>602</v>
      </c>
      <c r="C1179" s="47" t="s">
        <v>532</v>
      </c>
      <c r="D1179" s="69" t="s">
        <v>138</v>
      </c>
      <c r="E1179" s="49" t="s">
        <v>272</v>
      </c>
      <c r="F1179" s="51">
        <v>3</v>
      </c>
      <c r="G1179" s="88">
        <v>8.24</v>
      </c>
      <c r="H1179" s="51">
        <f t="shared" si="98"/>
        <v>24.72</v>
      </c>
    </row>
    <row r="1180" spans="2:8" x14ac:dyDescent="0.25">
      <c r="B1180" s="53"/>
      <c r="C1180" s="43" t="s">
        <v>155</v>
      </c>
      <c r="D1180" s="61" t="s">
        <v>156</v>
      </c>
      <c r="E1180" s="38" t="s">
        <v>139</v>
      </c>
      <c r="F1180" s="62">
        <v>1.1399999999999999</v>
      </c>
      <c r="G1180" s="51"/>
      <c r="H1180" s="63">
        <f>(SUM(H1178:H1179))*(1+F1180)</f>
        <v>85.835399999999993</v>
      </c>
    </row>
    <row r="1181" spans="2:8" x14ac:dyDescent="0.25">
      <c r="B1181" s="53" t="s">
        <v>636</v>
      </c>
      <c r="C1181" s="47" t="s">
        <v>619</v>
      </c>
      <c r="D1181" s="69" t="s">
        <v>123</v>
      </c>
      <c r="E1181" s="49" t="s">
        <v>159</v>
      </c>
      <c r="F1181" s="51">
        <v>2</v>
      </c>
      <c r="G1181" s="93">
        <f>8.99/4</f>
        <v>2.2475000000000001</v>
      </c>
      <c r="H1181" s="51">
        <f t="shared" si="98"/>
        <v>4.4950000000000001</v>
      </c>
    </row>
    <row r="1182" spans="2:8" x14ac:dyDescent="0.25">
      <c r="B1182" s="53" t="s">
        <v>637</v>
      </c>
      <c r="C1182" s="47" t="s">
        <v>638</v>
      </c>
      <c r="D1182" s="69" t="s">
        <v>168</v>
      </c>
      <c r="E1182" s="49" t="s">
        <v>159</v>
      </c>
      <c r="F1182" s="51">
        <v>0.1</v>
      </c>
      <c r="G1182" s="88">
        <v>8.4700000000000006</v>
      </c>
      <c r="H1182" s="51">
        <f t="shared" si="98"/>
        <v>0.84700000000000009</v>
      </c>
    </row>
    <row r="1183" spans="2:8" ht="30" x14ac:dyDescent="0.25">
      <c r="B1183" s="53" t="s">
        <v>620</v>
      </c>
      <c r="C1183" s="47" t="s">
        <v>639</v>
      </c>
      <c r="D1183" s="69" t="s">
        <v>123</v>
      </c>
      <c r="E1183" s="49" t="s">
        <v>159</v>
      </c>
      <c r="F1183" s="51">
        <v>2</v>
      </c>
      <c r="G1183" s="88">
        <v>0.22</v>
      </c>
      <c r="H1183" s="51">
        <f t="shared" si="98"/>
        <v>0.44</v>
      </c>
    </row>
    <row r="1184" spans="2:8" x14ac:dyDescent="0.25">
      <c r="B1184" s="53" t="s">
        <v>603</v>
      </c>
      <c r="C1184" s="47" t="s">
        <v>604</v>
      </c>
      <c r="D1184" s="69" t="s">
        <v>143</v>
      </c>
      <c r="E1184" s="49" t="s">
        <v>159</v>
      </c>
      <c r="F1184" s="51">
        <v>0.56000000000000005</v>
      </c>
      <c r="G1184" s="88">
        <v>3.6</v>
      </c>
      <c r="H1184" s="51">
        <f t="shared" si="98"/>
        <v>2.0160000000000005</v>
      </c>
    </row>
    <row r="1185" spans="2:8" x14ac:dyDescent="0.25">
      <c r="B1185" s="53" t="s">
        <v>640</v>
      </c>
      <c r="C1185" s="47" t="s">
        <v>641</v>
      </c>
      <c r="D1185" s="69" t="s">
        <v>123</v>
      </c>
      <c r="E1185" s="49" t="s">
        <v>159</v>
      </c>
      <c r="F1185" s="51">
        <v>1</v>
      </c>
      <c r="G1185" s="88">
        <v>10.84</v>
      </c>
      <c r="H1185" s="51">
        <f t="shared" si="98"/>
        <v>10.84</v>
      </c>
    </row>
    <row r="1186" spans="2:8" ht="30" x14ac:dyDescent="0.25">
      <c r="B1186" s="53" t="s">
        <v>642</v>
      </c>
      <c r="C1186" s="47" t="s">
        <v>643</v>
      </c>
      <c r="D1186" s="69" t="s">
        <v>123</v>
      </c>
      <c r="E1186" s="49" t="s">
        <v>159</v>
      </c>
      <c r="F1186" s="51">
        <v>1</v>
      </c>
      <c r="G1186" s="88">
        <v>23.84</v>
      </c>
      <c r="H1186" s="51">
        <f t="shared" si="98"/>
        <v>23.84</v>
      </c>
    </row>
    <row r="1187" spans="2:8" x14ac:dyDescent="0.25">
      <c r="B1187" s="53" t="s">
        <v>644</v>
      </c>
      <c r="C1187" s="47" t="s">
        <v>645</v>
      </c>
      <c r="D1187" s="69" t="s">
        <v>123</v>
      </c>
      <c r="E1187" s="49" t="s">
        <v>159</v>
      </c>
      <c r="F1187" s="51">
        <v>1</v>
      </c>
      <c r="G1187" s="88">
        <v>23.99</v>
      </c>
      <c r="H1187" s="51">
        <f t="shared" si="98"/>
        <v>23.99</v>
      </c>
    </row>
    <row r="1188" spans="2:8" x14ac:dyDescent="0.25">
      <c r="B1188" s="79" t="s">
        <v>988</v>
      </c>
      <c r="C1188" s="47" t="s">
        <v>987</v>
      </c>
      <c r="D1188" s="69" t="s">
        <v>123</v>
      </c>
      <c r="E1188" s="49" t="s">
        <v>159</v>
      </c>
      <c r="F1188" s="70">
        <v>1</v>
      </c>
      <c r="G1188" s="88">
        <v>293.02999999999997</v>
      </c>
      <c r="H1188" s="51">
        <f t="shared" si="98"/>
        <v>293.02999999999997</v>
      </c>
    </row>
    <row r="1189" spans="2:8" x14ac:dyDescent="0.25">
      <c r="B1189" s="52" t="s">
        <v>130</v>
      </c>
      <c r="C1189" s="195" t="s">
        <v>989</v>
      </c>
      <c r="D1189" s="196"/>
      <c r="E1189" s="196"/>
      <c r="F1189" s="196"/>
      <c r="G1189" s="196"/>
      <c r="H1189" s="197"/>
    </row>
    <row r="1192" spans="2:8" ht="15.75" x14ac:dyDescent="0.25">
      <c r="B1192" s="193" t="s">
        <v>646</v>
      </c>
      <c r="C1192" s="194"/>
      <c r="D1192" s="194"/>
      <c r="E1192" s="194"/>
      <c r="F1192" s="194"/>
      <c r="G1192" s="194"/>
      <c r="H1192" s="194"/>
    </row>
    <row r="1193" spans="2:8" x14ac:dyDescent="0.25">
      <c r="B1193" s="38" t="s">
        <v>121</v>
      </c>
      <c r="C1193" s="39" t="s">
        <v>122</v>
      </c>
      <c r="D1193" s="38" t="s">
        <v>123</v>
      </c>
      <c r="E1193" s="38" t="s">
        <v>124</v>
      </c>
      <c r="F1193" s="40" t="s">
        <v>125</v>
      </c>
      <c r="G1193" s="40" t="s">
        <v>126</v>
      </c>
      <c r="H1193" s="41" t="s">
        <v>127</v>
      </c>
    </row>
    <row r="1194" spans="2:8" x14ac:dyDescent="0.25">
      <c r="B1194" s="42" t="s">
        <v>647</v>
      </c>
      <c r="C1194" s="43" t="s">
        <v>648</v>
      </c>
      <c r="D1194" s="44" t="s">
        <v>123</v>
      </c>
      <c r="E1194" s="38" t="s">
        <v>128</v>
      </c>
      <c r="F1194" s="40"/>
      <c r="G1194" s="40"/>
      <c r="H1194" s="45">
        <f>SUM(H1197:H1199)</f>
        <v>199.78389999999999</v>
      </c>
    </row>
    <row r="1195" spans="2:8" x14ac:dyDescent="0.25">
      <c r="B1195" s="53" t="s">
        <v>529</v>
      </c>
      <c r="C1195" s="47" t="s">
        <v>546</v>
      </c>
      <c r="D1195" s="69" t="s">
        <v>138</v>
      </c>
      <c r="E1195" s="49" t="s">
        <v>272</v>
      </c>
      <c r="F1195" s="51">
        <v>0.5</v>
      </c>
      <c r="G1195" s="88">
        <v>5.13</v>
      </c>
      <c r="H1195" s="51">
        <f t="shared" ref="H1195:H1199" si="99">F1195*G1195</f>
        <v>2.5649999999999999</v>
      </c>
    </row>
    <row r="1196" spans="2:8" x14ac:dyDescent="0.25">
      <c r="B1196" s="53" t="s">
        <v>602</v>
      </c>
      <c r="C1196" s="47" t="s">
        <v>532</v>
      </c>
      <c r="D1196" s="69" t="s">
        <v>138</v>
      </c>
      <c r="E1196" s="49" t="s">
        <v>272</v>
      </c>
      <c r="F1196" s="51">
        <v>0.5</v>
      </c>
      <c r="G1196" s="88">
        <v>8.24</v>
      </c>
      <c r="H1196" s="51">
        <f t="shared" si="99"/>
        <v>4.12</v>
      </c>
    </row>
    <row r="1197" spans="2:8" x14ac:dyDescent="0.25">
      <c r="B1197" s="53"/>
      <c r="C1197" s="43" t="s">
        <v>155</v>
      </c>
      <c r="D1197" s="61" t="s">
        <v>156</v>
      </c>
      <c r="E1197" s="38" t="s">
        <v>139</v>
      </c>
      <c r="F1197" s="62">
        <v>1.1399999999999999</v>
      </c>
      <c r="G1197" s="51"/>
      <c r="H1197" s="63">
        <f>(SUM(H1195:H1196))*(1+F1197)</f>
        <v>14.305899999999999</v>
      </c>
    </row>
    <row r="1198" spans="2:8" x14ac:dyDescent="0.25">
      <c r="B1198" s="53" t="s">
        <v>603</v>
      </c>
      <c r="C1198" s="47" t="s">
        <v>649</v>
      </c>
      <c r="D1198" s="69" t="s">
        <v>143</v>
      </c>
      <c r="E1198" s="49" t="s">
        <v>159</v>
      </c>
      <c r="F1198" s="70">
        <v>0.28000000000000003</v>
      </c>
      <c r="G1198" s="88">
        <v>3.6</v>
      </c>
      <c r="H1198" s="51">
        <f t="shared" si="99"/>
        <v>1.0080000000000002</v>
      </c>
    </row>
    <row r="1199" spans="2:8" ht="30" x14ac:dyDescent="0.25">
      <c r="B1199" s="79" t="s">
        <v>650</v>
      </c>
      <c r="C1199" s="47" t="s">
        <v>651</v>
      </c>
      <c r="D1199" s="69" t="s">
        <v>123</v>
      </c>
      <c r="E1199" s="49" t="s">
        <v>159</v>
      </c>
      <c r="F1199" s="51">
        <v>1</v>
      </c>
      <c r="G1199" s="88">
        <v>184.47</v>
      </c>
      <c r="H1199" s="51">
        <f t="shared" si="99"/>
        <v>184.47</v>
      </c>
    </row>
    <row r="1200" spans="2:8" x14ac:dyDescent="0.25">
      <c r="B1200" s="52" t="s">
        <v>130</v>
      </c>
      <c r="C1200" s="195" t="s">
        <v>131</v>
      </c>
      <c r="D1200" s="196"/>
      <c r="E1200" s="196"/>
      <c r="F1200" s="196"/>
      <c r="G1200" s="196"/>
      <c r="H1200" s="197"/>
    </row>
    <row r="1203" spans="2:8" ht="15.75" x14ac:dyDescent="0.25">
      <c r="B1203" s="198" t="s">
        <v>652</v>
      </c>
      <c r="C1203" s="199"/>
      <c r="D1203" s="199"/>
      <c r="E1203" s="199"/>
      <c r="F1203" s="199"/>
      <c r="G1203" s="199"/>
      <c r="H1203" s="199"/>
    </row>
    <row r="1204" spans="2:8" x14ac:dyDescent="0.25">
      <c r="B1204" s="38" t="s">
        <v>121</v>
      </c>
      <c r="C1204" s="39" t="s">
        <v>122</v>
      </c>
      <c r="D1204" s="38" t="s">
        <v>123</v>
      </c>
      <c r="E1204" s="38" t="s">
        <v>124</v>
      </c>
      <c r="F1204" s="40" t="s">
        <v>125</v>
      </c>
      <c r="G1204" s="40" t="s">
        <v>126</v>
      </c>
      <c r="H1204" s="41" t="s">
        <v>127</v>
      </c>
    </row>
    <row r="1205" spans="2:8" x14ac:dyDescent="0.25">
      <c r="B1205" s="42" t="s">
        <v>653</v>
      </c>
      <c r="C1205" s="43" t="s">
        <v>654</v>
      </c>
      <c r="D1205" s="44" t="s">
        <v>117</v>
      </c>
      <c r="E1205" s="38" t="s">
        <v>128</v>
      </c>
      <c r="F1205" s="40"/>
      <c r="G1205" s="40"/>
      <c r="H1205" s="45">
        <f>SUM(H1206:H1206)</f>
        <v>3.5909999999999997</v>
      </c>
    </row>
    <row r="1206" spans="2:8" x14ac:dyDescent="0.25">
      <c r="B1206" s="53" t="s">
        <v>154</v>
      </c>
      <c r="C1206" s="47" t="s">
        <v>226</v>
      </c>
      <c r="D1206" s="69" t="s">
        <v>143</v>
      </c>
      <c r="E1206" s="49" t="s">
        <v>272</v>
      </c>
      <c r="F1206" s="51">
        <v>0.7</v>
      </c>
      <c r="G1206" s="88">
        <v>5.13</v>
      </c>
      <c r="H1206" s="51">
        <f>F1206*G1206</f>
        <v>3.5909999999999997</v>
      </c>
    </row>
    <row r="1207" spans="2:8" x14ac:dyDescent="0.25">
      <c r="B1207" s="52" t="s">
        <v>130</v>
      </c>
      <c r="C1207" s="195" t="s">
        <v>131</v>
      </c>
      <c r="D1207" s="196"/>
      <c r="E1207" s="196"/>
      <c r="F1207" s="196"/>
      <c r="G1207" s="196"/>
      <c r="H1207" s="197"/>
    </row>
  </sheetData>
  <mergeCells count="206">
    <mergeCell ref="B10:H10"/>
    <mergeCell ref="C15:H15"/>
    <mergeCell ref="B17:H17"/>
    <mergeCell ref="C42:H42"/>
    <mergeCell ref="B81:H81"/>
    <mergeCell ref="C88:H88"/>
    <mergeCell ref="B91:H91"/>
    <mergeCell ref="C97:H97"/>
    <mergeCell ref="B100:H100"/>
    <mergeCell ref="C108:H108"/>
    <mergeCell ref="B45:H45"/>
    <mergeCell ref="C60:H60"/>
    <mergeCell ref="B63:H63"/>
    <mergeCell ref="C71:H71"/>
    <mergeCell ref="B74:H74"/>
    <mergeCell ref="C78:H78"/>
    <mergeCell ref="B142:H142"/>
    <mergeCell ref="C152:H152"/>
    <mergeCell ref="B155:H155"/>
    <mergeCell ref="C161:H161"/>
    <mergeCell ref="B164:H164"/>
    <mergeCell ref="C172:H172"/>
    <mergeCell ref="B111:H111"/>
    <mergeCell ref="C120:H120"/>
    <mergeCell ref="B123:H123"/>
    <mergeCell ref="C132:H132"/>
    <mergeCell ref="B135:H135"/>
    <mergeCell ref="C139:H139"/>
    <mergeCell ref="B209:H209"/>
    <mergeCell ref="C213:H213"/>
    <mergeCell ref="B216:H216"/>
    <mergeCell ref="C226:H226"/>
    <mergeCell ref="B229:H229"/>
    <mergeCell ref="C235:H235"/>
    <mergeCell ref="B175:H175"/>
    <mergeCell ref="C183:H183"/>
    <mergeCell ref="B186:H186"/>
    <mergeCell ref="C194:H194"/>
    <mergeCell ref="B197:H197"/>
    <mergeCell ref="C206:H206"/>
    <mergeCell ref="B268:H268"/>
    <mergeCell ref="C278:H278"/>
    <mergeCell ref="B281:H281"/>
    <mergeCell ref="C287:H287"/>
    <mergeCell ref="B290:H290"/>
    <mergeCell ref="C297:H297"/>
    <mergeCell ref="B238:H238"/>
    <mergeCell ref="C246:H246"/>
    <mergeCell ref="B249:H249"/>
    <mergeCell ref="C258:H258"/>
    <mergeCell ref="B261:H261"/>
    <mergeCell ref="C265:H265"/>
    <mergeCell ref="B334:H334"/>
    <mergeCell ref="C342:H342"/>
    <mergeCell ref="B345:H345"/>
    <mergeCell ref="C355:H355"/>
    <mergeCell ref="B358:H358"/>
    <mergeCell ref="C364:H364"/>
    <mergeCell ref="B300:H300"/>
    <mergeCell ref="C306:H306"/>
    <mergeCell ref="B309:H309"/>
    <mergeCell ref="C317:H317"/>
    <mergeCell ref="B320:H320"/>
    <mergeCell ref="C331:H331"/>
    <mergeCell ref="B397:H397"/>
    <mergeCell ref="C406:H406"/>
    <mergeCell ref="B409:H409"/>
    <mergeCell ref="C418:H418"/>
    <mergeCell ref="B421:H421"/>
    <mergeCell ref="C429:H429"/>
    <mergeCell ref="B367:H367"/>
    <mergeCell ref="C373:H373"/>
    <mergeCell ref="B376:H376"/>
    <mergeCell ref="C383:H383"/>
    <mergeCell ref="B386:H386"/>
    <mergeCell ref="C394:H394"/>
    <mergeCell ref="B462:H462"/>
    <mergeCell ref="C470:H470"/>
    <mergeCell ref="B473:H473"/>
    <mergeCell ref="C482:H482"/>
    <mergeCell ref="B485:H485"/>
    <mergeCell ref="C493:H493"/>
    <mergeCell ref="B432:H432"/>
    <mergeCell ref="C439:H439"/>
    <mergeCell ref="B442:H442"/>
    <mergeCell ref="C451:H451"/>
    <mergeCell ref="B454:H454"/>
    <mergeCell ref="C459:H459"/>
    <mergeCell ref="B529:H529"/>
    <mergeCell ref="C536:H536"/>
    <mergeCell ref="B539:H539"/>
    <mergeCell ref="C548:H548"/>
    <mergeCell ref="B551:H551"/>
    <mergeCell ref="C555:H555"/>
    <mergeCell ref="B496:H496"/>
    <mergeCell ref="C503:H503"/>
    <mergeCell ref="B506:H506"/>
    <mergeCell ref="C515:H515"/>
    <mergeCell ref="B518:H518"/>
    <mergeCell ref="C526:H526"/>
    <mergeCell ref="B602:H602"/>
    <mergeCell ref="C621:H621"/>
    <mergeCell ref="B624:H624"/>
    <mergeCell ref="C643:H643"/>
    <mergeCell ref="B646:H646"/>
    <mergeCell ref="C657:H657"/>
    <mergeCell ref="B558:H558"/>
    <mergeCell ref="C566:H566"/>
    <mergeCell ref="B569:H569"/>
    <mergeCell ref="C577:H577"/>
    <mergeCell ref="B580:H580"/>
    <mergeCell ref="C599:H599"/>
    <mergeCell ref="B695:H695"/>
    <mergeCell ref="C704:H704"/>
    <mergeCell ref="B707:H707"/>
    <mergeCell ref="C716:H716"/>
    <mergeCell ref="B719:H719"/>
    <mergeCell ref="C729:H729"/>
    <mergeCell ref="B660:H660"/>
    <mergeCell ref="C669:H669"/>
    <mergeCell ref="B672:H672"/>
    <mergeCell ref="C681:H681"/>
    <mergeCell ref="B684:H684"/>
    <mergeCell ref="C693:H693"/>
    <mergeCell ref="B765:H765"/>
    <mergeCell ref="C773:H773"/>
    <mergeCell ref="B776:H776"/>
    <mergeCell ref="C784:H784"/>
    <mergeCell ref="B787:H787"/>
    <mergeCell ref="C793:H793"/>
    <mergeCell ref="B732:H732"/>
    <mergeCell ref="C741:H741"/>
    <mergeCell ref="B744:H744"/>
    <mergeCell ref="C751:H751"/>
    <mergeCell ref="B754:H754"/>
    <mergeCell ref="C762:H762"/>
    <mergeCell ref="B839:H839"/>
    <mergeCell ref="C845:H845"/>
    <mergeCell ref="B848:H848"/>
    <mergeCell ref="C855:H855"/>
    <mergeCell ref="B858:H858"/>
    <mergeCell ref="C865:H865"/>
    <mergeCell ref="B796:H796"/>
    <mergeCell ref="C802:H802"/>
    <mergeCell ref="B805:H805"/>
    <mergeCell ref="C826:H826"/>
    <mergeCell ref="B829:H829"/>
    <mergeCell ref="C836:H836"/>
    <mergeCell ref="B908:H908"/>
    <mergeCell ref="C920:H920"/>
    <mergeCell ref="B923:H923"/>
    <mergeCell ref="C932:H932"/>
    <mergeCell ref="B935:H935"/>
    <mergeCell ref="C943:H943"/>
    <mergeCell ref="B868:H868"/>
    <mergeCell ref="C874:H874"/>
    <mergeCell ref="B877:H877"/>
    <mergeCell ref="C889:H889"/>
    <mergeCell ref="B892:H892"/>
    <mergeCell ref="C905:H905"/>
    <mergeCell ref="B995:H995"/>
    <mergeCell ref="C1009:H1009"/>
    <mergeCell ref="B1012:H1012"/>
    <mergeCell ref="C1022:H1022"/>
    <mergeCell ref="B1025:H1025"/>
    <mergeCell ref="C1037:H1037"/>
    <mergeCell ref="B946:H946"/>
    <mergeCell ref="C963:H963"/>
    <mergeCell ref="B966:H966"/>
    <mergeCell ref="C979:H979"/>
    <mergeCell ref="B982:H982"/>
    <mergeCell ref="C992:H992"/>
    <mergeCell ref="B1092:H1092"/>
    <mergeCell ref="C1101:H1101"/>
    <mergeCell ref="B1104:H1104"/>
    <mergeCell ref="C1111:H1111"/>
    <mergeCell ref="B1040:H1040"/>
    <mergeCell ref="C1050:H1050"/>
    <mergeCell ref="B1053:H1053"/>
    <mergeCell ref="C1061:H1061"/>
    <mergeCell ref="B1064:H1064"/>
    <mergeCell ref="C1076:H1076"/>
    <mergeCell ref="J2:P2"/>
    <mergeCell ref="K11:P11"/>
    <mergeCell ref="J14:P14"/>
    <mergeCell ref="K21:P21"/>
    <mergeCell ref="B1192:H1192"/>
    <mergeCell ref="C1200:H1200"/>
    <mergeCell ref="B1203:H1203"/>
    <mergeCell ref="C1207:H1207"/>
    <mergeCell ref="B2:H2"/>
    <mergeCell ref="C8:H8"/>
    <mergeCell ref="B1148:H1148"/>
    <mergeCell ref="C1155:H1155"/>
    <mergeCell ref="B1158:H1158"/>
    <mergeCell ref="C1172:H1172"/>
    <mergeCell ref="B1175:H1175"/>
    <mergeCell ref="C1189:H1189"/>
    <mergeCell ref="B1114:H1114"/>
    <mergeCell ref="C1122:H1122"/>
    <mergeCell ref="B1125:H1125"/>
    <mergeCell ref="C1131:H1131"/>
    <mergeCell ref="B1134:H1134"/>
    <mergeCell ref="C1145:H1145"/>
    <mergeCell ref="B1079:H1079"/>
    <mergeCell ref="C1089:H1089"/>
  </mergeCells>
  <pageMargins left="0.511811024" right="0.511811024" top="0.78740157499999996" bottom="0.78740157499999996" header="0.31496062000000002" footer="0.31496062000000002"/>
  <pageSetup paperSize="9" scale="64" orientation="portrait" r:id="rId1"/>
  <colBreaks count="1" manualBreakCount="1">
    <brk id="2" max="1119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2:M1141"/>
  <sheetViews>
    <sheetView zoomScale="60" zoomScaleNormal="60" workbookViewId="0">
      <selection activeCell="K9" sqref="K9"/>
    </sheetView>
  </sheetViews>
  <sheetFormatPr defaultRowHeight="15" x14ac:dyDescent="0.25"/>
  <cols>
    <col min="2" max="2" width="19.42578125" customWidth="1"/>
    <col min="3" max="3" width="88" customWidth="1"/>
    <col min="4" max="4" width="12.42578125" customWidth="1"/>
    <col min="5" max="5" width="14" customWidth="1"/>
    <col min="6" max="6" width="15.28515625" style="122" customWidth="1"/>
    <col min="7" max="7" width="17.140625" customWidth="1"/>
    <col min="8" max="8" width="19.140625" customWidth="1"/>
  </cols>
  <sheetData>
    <row r="2" spans="2:8" ht="15.75" x14ac:dyDescent="0.25">
      <c r="B2" s="214" t="s">
        <v>1113</v>
      </c>
      <c r="C2" s="214"/>
      <c r="D2" s="214"/>
      <c r="E2" s="214"/>
      <c r="F2" s="214"/>
      <c r="G2" s="214"/>
      <c r="H2" s="214"/>
    </row>
    <row r="3" spans="2:8" x14ac:dyDescent="0.25">
      <c r="B3" s="100" t="s">
        <v>121</v>
      </c>
      <c r="C3" s="112" t="s">
        <v>122</v>
      </c>
      <c r="D3" s="100" t="s">
        <v>123</v>
      </c>
      <c r="E3" s="100" t="s">
        <v>124</v>
      </c>
      <c r="F3" s="120" t="s">
        <v>125</v>
      </c>
      <c r="G3" s="82" t="s">
        <v>126</v>
      </c>
      <c r="H3" s="82" t="s">
        <v>127</v>
      </c>
    </row>
    <row r="4" spans="2:8" ht="47.25" customHeight="1" x14ac:dyDescent="0.25">
      <c r="B4" s="42" t="s">
        <v>1109</v>
      </c>
      <c r="C4" s="43" t="s">
        <v>1108</v>
      </c>
      <c r="D4" s="44" t="s">
        <v>117</v>
      </c>
      <c r="E4" s="38" t="s">
        <v>128</v>
      </c>
      <c r="F4" s="84"/>
      <c r="G4" s="40"/>
      <c r="H4" s="63">
        <f>SUM(H7:H9)</f>
        <v>0.30430199999999996</v>
      </c>
    </row>
    <row r="5" spans="2:8" ht="58.5" customHeight="1" x14ac:dyDescent="0.25">
      <c r="B5" s="46" t="s">
        <v>656</v>
      </c>
      <c r="C5" s="47" t="s">
        <v>1111</v>
      </c>
      <c r="D5" s="48" t="s">
        <v>138</v>
      </c>
      <c r="E5" s="49" t="s">
        <v>139</v>
      </c>
      <c r="F5" s="73">
        <v>3.0000000000000001E-3</v>
      </c>
      <c r="G5" s="51">
        <v>4.8600000000000003</v>
      </c>
      <c r="H5" s="77">
        <f>G5*F5</f>
        <v>1.4580000000000001E-2</v>
      </c>
    </row>
    <row r="6" spans="2:8" ht="58.5" customHeight="1" x14ac:dyDescent="0.25">
      <c r="B6" s="46" t="s">
        <v>1119</v>
      </c>
      <c r="C6" s="47" t="s">
        <v>1110</v>
      </c>
      <c r="D6" s="53" t="s">
        <v>138</v>
      </c>
      <c r="E6" s="49" t="s">
        <v>139</v>
      </c>
      <c r="F6" s="73">
        <v>3.0000000000000001E-3</v>
      </c>
      <c r="G6" s="51">
        <v>8.24</v>
      </c>
      <c r="H6" s="77">
        <f>G6*F6</f>
        <v>2.4720000000000002E-2</v>
      </c>
    </row>
    <row r="7" spans="2:8" ht="58.5" customHeight="1" x14ac:dyDescent="0.25">
      <c r="B7" s="53"/>
      <c r="C7" s="60" t="s">
        <v>155</v>
      </c>
      <c r="D7" s="61" t="s">
        <v>156</v>
      </c>
      <c r="E7" s="38" t="s">
        <v>139</v>
      </c>
      <c r="F7" s="121">
        <v>1.3</v>
      </c>
      <c r="G7" s="63"/>
      <c r="H7" s="63">
        <f>(SUM(H5:H6))*(1+F7)</f>
        <v>9.0389999999999998E-2</v>
      </c>
    </row>
    <row r="8" spans="2:8" ht="58.5" customHeight="1" x14ac:dyDescent="0.25">
      <c r="B8" s="46">
        <v>89032</v>
      </c>
      <c r="C8" s="47" t="s">
        <v>1747</v>
      </c>
      <c r="D8" s="169" t="s">
        <v>1189</v>
      </c>
      <c r="E8" s="49" t="s">
        <v>129</v>
      </c>
      <c r="F8" s="73">
        <v>5.9999999999999995E-4</v>
      </c>
      <c r="G8" s="73">
        <v>130.4</v>
      </c>
      <c r="H8" s="51">
        <f>F8*G8</f>
        <v>7.823999999999999E-2</v>
      </c>
    </row>
    <row r="9" spans="2:8" ht="30" x14ac:dyDescent="0.25">
      <c r="B9" s="46" t="s">
        <v>1126</v>
      </c>
      <c r="C9" s="47" t="s">
        <v>1112</v>
      </c>
      <c r="D9" s="48" t="s">
        <v>249</v>
      </c>
      <c r="E9" s="49" t="s">
        <v>129</v>
      </c>
      <c r="F9" s="73">
        <v>2.3999999999999998E-3</v>
      </c>
      <c r="G9" s="113">
        <v>56.53</v>
      </c>
      <c r="H9" s="51">
        <f>F9*G9</f>
        <v>0.13567199999999999</v>
      </c>
    </row>
    <row r="10" spans="2:8" x14ac:dyDescent="0.25">
      <c r="B10" s="52" t="s">
        <v>130</v>
      </c>
      <c r="C10" s="192" t="s">
        <v>232</v>
      </c>
      <c r="D10" s="192"/>
      <c r="E10" s="192"/>
      <c r="F10" s="192"/>
      <c r="G10" s="192"/>
      <c r="H10" s="192"/>
    </row>
    <row r="12" spans="2:8" ht="15.75" x14ac:dyDescent="0.25">
      <c r="B12" s="214" t="s">
        <v>1286</v>
      </c>
      <c r="C12" s="214"/>
      <c r="D12" s="214"/>
      <c r="E12" s="214"/>
      <c r="F12" s="214"/>
      <c r="G12" s="214"/>
      <c r="H12" s="214"/>
    </row>
    <row r="13" spans="2:8" x14ac:dyDescent="0.25">
      <c r="B13" s="38" t="s">
        <v>121</v>
      </c>
      <c r="C13" s="39" t="s">
        <v>122</v>
      </c>
      <c r="D13" s="38" t="s">
        <v>123</v>
      </c>
      <c r="E13" s="38" t="s">
        <v>124</v>
      </c>
      <c r="F13" s="84" t="s">
        <v>125</v>
      </c>
      <c r="G13" s="40" t="s">
        <v>126</v>
      </c>
      <c r="H13" s="41" t="s">
        <v>127</v>
      </c>
    </row>
    <row r="14" spans="2:8" ht="54.75" customHeight="1" x14ac:dyDescent="0.25">
      <c r="B14" s="42" t="s">
        <v>1289</v>
      </c>
      <c r="C14" s="43" t="s">
        <v>1285</v>
      </c>
      <c r="D14" s="44" t="s">
        <v>135</v>
      </c>
      <c r="E14" s="38" t="s">
        <v>128</v>
      </c>
      <c r="F14" s="84"/>
      <c r="G14" s="40"/>
      <c r="H14" s="45">
        <f>H15</f>
        <v>2.2445280000000003</v>
      </c>
    </row>
    <row r="15" spans="2:8" ht="33" customHeight="1" x14ac:dyDescent="0.25">
      <c r="B15" s="53" t="s">
        <v>1288</v>
      </c>
      <c r="C15" s="47" t="s">
        <v>1287</v>
      </c>
      <c r="D15" s="53" t="s">
        <v>1189</v>
      </c>
      <c r="E15" s="49" t="s">
        <v>129</v>
      </c>
      <c r="F15" s="73">
        <v>1.7600000000000001E-2</v>
      </c>
      <c r="G15" s="55">
        <v>127.53</v>
      </c>
      <c r="H15" s="51">
        <f>F15*G15</f>
        <v>2.2445280000000003</v>
      </c>
    </row>
    <row r="16" spans="2:8" x14ac:dyDescent="0.25">
      <c r="B16" s="52" t="s">
        <v>130</v>
      </c>
      <c r="C16" s="192" t="s">
        <v>232</v>
      </c>
      <c r="D16" s="192"/>
      <c r="E16" s="192"/>
      <c r="F16" s="192"/>
      <c r="G16" s="192"/>
      <c r="H16" s="192"/>
    </row>
    <row r="18" spans="2:8" ht="30.75" customHeight="1" x14ac:dyDescent="0.25">
      <c r="B18" s="211" t="s">
        <v>1290</v>
      </c>
      <c r="C18" s="212"/>
      <c r="D18" s="212"/>
      <c r="E18" s="212"/>
      <c r="F18" s="212"/>
      <c r="G18" s="212"/>
      <c r="H18" s="213"/>
    </row>
    <row r="19" spans="2:8" x14ac:dyDescent="0.25">
      <c r="B19" s="38" t="s">
        <v>121</v>
      </c>
      <c r="C19" s="39" t="s">
        <v>122</v>
      </c>
      <c r="D19" s="38" t="s">
        <v>123</v>
      </c>
      <c r="E19" s="38" t="s">
        <v>124</v>
      </c>
      <c r="F19" s="84" t="s">
        <v>125</v>
      </c>
      <c r="G19" s="40" t="s">
        <v>126</v>
      </c>
      <c r="H19" s="41" t="s">
        <v>127</v>
      </c>
    </row>
    <row r="20" spans="2:8" ht="30" x14ac:dyDescent="0.25">
      <c r="B20" s="42" t="s">
        <v>1276</v>
      </c>
      <c r="C20" s="43" t="s">
        <v>1277</v>
      </c>
      <c r="D20" s="44" t="s">
        <v>117</v>
      </c>
      <c r="E20" s="38" t="s">
        <v>128</v>
      </c>
      <c r="F20" s="84"/>
      <c r="G20" s="40"/>
      <c r="H20" s="45">
        <f>SUM(H21:H25)</f>
        <v>100.84358</v>
      </c>
    </row>
    <row r="21" spans="2:8" ht="30" x14ac:dyDescent="0.25">
      <c r="B21" s="53" t="s">
        <v>1274</v>
      </c>
      <c r="C21" s="127" t="s">
        <v>1273</v>
      </c>
      <c r="D21" s="53" t="s">
        <v>135</v>
      </c>
      <c r="E21" s="49" t="s">
        <v>128</v>
      </c>
      <c r="F21" s="73">
        <v>0.105</v>
      </c>
      <c r="G21" s="51">
        <v>354.04</v>
      </c>
      <c r="H21" s="51">
        <f>F21*G21</f>
        <v>37.174199999999999</v>
      </c>
    </row>
    <row r="22" spans="2:8" x14ac:dyDescent="0.25">
      <c r="B22" s="47" t="s">
        <v>1275</v>
      </c>
      <c r="C22" s="47" t="s">
        <v>1281</v>
      </c>
      <c r="D22" s="53" t="s">
        <v>135</v>
      </c>
      <c r="E22" s="49" t="s">
        <v>128</v>
      </c>
      <c r="F22" s="73">
        <v>1.2999999999999999E-2</v>
      </c>
      <c r="G22" s="51">
        <v>301.95</v>
      </c>
      <c r="H22" s="51">
        <f t="shared" ref="H22:H25" si="0">F22*G22</f>
        <v>3.9253499999999995</v>
      </c>
    </row>
    <row r="23" spans="2:8" ht="30" x14ac:dyDescent="0.25">
      <c r="B23" s="47" t="s">
        <v>1278</v>
      </c>
      <c r="C23" s="47" t="s">
        <v>1282</v>
      </c>
      <c r="D23" s="53" t="s">
        <v>117</v>
      </c>
      <c r="E23" s="49" t="s">
        <v>128</v>
      </c>
      <c r="F23" s="73">
        <v>0.13</v>
      </c>
      <c r="G23" s="51">
        <v>92.4</v>
      </c>
      <c r="H23" s="51">
        <f t="shared" si="0"/>
        <v>12.012</v>
      </c>
    </row>
    <row r="24" spans="2:8" ht="30" x14ac:dyDescent="0.25">
      <c r="B24" s="47" t="s">
        <v>1279</v>
      </c>
      <c r="C24" s="47" t="s">
        <v>1283</v>
      </c>
      <c r="D24" s="53" t="s">
        <v>168</v>
      </c>
      <c r="E24" s="49" t="s">
        <v>128</v>
      </c>
      <c r="F24" s="73">
        <v>1.04</v>
      </c>
      <c r="G24" s="51">
        <v>8.14</v>
      </c>
      <c r="H24" s="51">
        <f t="shared" si="0"/>
        <v>8.4656000000000002</v>
      </c>
    </row>
    <row r="25" spans="2:8" ht="30" x14ac:dyDescent="0.25">
      <c r="B25" s="47" t="s">
        <v>1280</v>
      </c>
      <c r="C25" s="47" t="s">
        <v>1284</v>
      </c>
      <c r="D25" s="53" t="s">
        <v>117</v>
      </c>
      <c r="E25" s="49" t="s">
        <v>128</v>
      </c>
      <c r="F25" s="73">
        <v>0.86699999999999999</v>
      </c>
      <c r="G25" s="51">
        <v>45.29</v>
      </c>
      <c r="H25" s="51">
        <f t="shared" si="0"/>
        <v>39.26643</v>
      </c>
    </row>
    <row r="26" spans="2:8" x14ac:dyDescent="0.25">
      <c r="B26" s="52" t="s">
        <v>130</v>
      </c>
      <c r="C26" s="192" t="s">
        <v>1553</v>
      </c>
      <c r="D26" s="192"/>
      <c r="E26" s="192"/>
      <c r="F26" s="192"/>
      <c r="G26" s="192"/>
      <c r="H26" s="192"/>
    </row>
    <row r="29" spans="2:8" ht="15.75" x14ac:dyDescent="0.25">
      <c r="B29" s="214" t="s">
        <v>1195</v>
      </c>
      <c r="C29" s="214"/>
      <c r="D29" s="214"/>
      <c r="E29" s="214"/>
      <c r="F29" s="214"/>
      <c r="G29" s="214"/>
      <c r="H29" s="214"/>
    </row>
    <row r="30" spans="2:8" x14ac:dyDescent="0.25">
      <c r="B30" s="38" t="s">
        <v>121</v>
      </c>
      <c r="C30" s="39" t="s">
        <v>122</v>
      </c>
      <c r="D30" s="38" t="s">
        <v>123</v>
      </c>
      <c r="E30" s="38" t="s">
        <v>124</v>
      </c>
      <c r="F30" s="84" t="s">
        <v>125</v>
      </c>
      <c r="G30" s="40" t="s">
        <v>126</v>
      </c>
      <c r="H30" s="41" t="s">
        <v>127</v>
      </c>
    </row>
    <row r="31" spans="2:8" ht="30" x14ac:dyDescent="0.25">
      <c r="B31" s="66" t="s">
        <v>1197</v>
      </c>
      <c r="C31" s="43" t="s">
        <v>1196</v>
      </c>
      <c r="D31" s="44" t="s">
        <v>117</v>
      </c>
      <c r="E31" s="38" t="s">
        <v>128</v>
      </c>
      <c r="F31" s="121"/>
      <c r="G31" s="40"/>
      <c r="H31" s="45">
        <f>SUM(H34:H39)</f>
        <v>25.774176999999998</v>
      </c>
    </row>
    <row r="32" spans="2:8" x14ac:dyDescent="0.25">
      <c r="B32" s="67" t="s">
        <v>1210</v>
      </c>
      <c r="C32" s="47" t="s">
        <v>1206</v>
      </c>
      <c r="D32" s="53" t="s">
        <v>138</v>
      </c>
      <c r="E32" s="49" t="s">
        <v>139</v>
      </c>
      <c r="F32" s="73">
        <v>0.13100000000000001</v>
      </c>
      <c r="G32" s="51">
        <v>5.13</v>
      </c>
      <c r="H32" s="51">
        <f t="shared" ref="H32:H35" si="1">F32*G32</f>
        <v>0.67203000000000002</v>
      </c>
    </row>
    <row r="33" spans="1:8" x14ac:dyDescent="0.25">
      <c r="A33" s="59"/>
      <c r="B33" s="47" t="s">
        <v>1211</v>
      </c>
      <c r="C33" s="47" t="s">
        <v>1207</v>
      </c>
      <c r="D33" s="53" t="s">
        <v>138</v>
      </c>
      <c r="E33" s="49" t="s">
        <v>139</v>
      </c>
      <c r="F33" s="73">
        <v>0.52400000000000002</v>
      </c>
      <c r="G33" s="51">
        <v>8.24</v>
      </c>
      <c r="H33" s="51">
        <f t="shared" si="1"/>
        <v>4.3177600000000007</v>
      </c>
    </row>
    <row r="34" spans="1:8" x14ac:dyDescent="0.25">
      <c r="B34" s="47"/>
      <c r="C34" s="60" t="s">
        <v>155</v>
      </c>
      <c r="D34" s="61" t="s">
        <v>156</v>
      </c>
      <c r="E34" s="38" t="s">
        <v>139</v>
      </c>
      <c r="F34" s="121">
        <v>1.3</v>
      </c>
      <c r="G34" s="63"/>
      <c r="H34" s="63">
        <f>(SUM(H32:H33))*(1+F34)</f>
        <v>11.476517000000001</v>
      </c>
    </row>
    <row r="35" spans="1:8" ht="26.25" customHeight="1" x14ac:dyDescent="0.25">
      <c r="B35" s="47" t="s">
        <v>1199</v>
      </c>
      <c r="C35" s="47" t="s">
        <v>1198</v>
      </c>
      <c r="D35" s="53" t="s">
        <v>173</v>
      </c>
      <c r="E35" s="49" t="s">
        <v>159</v>
      </c>
      <c r="F35" s="73">
        <v>1.7000000000000001E-2</v>
      </c>
      <c r="G35" s="51">
        <v>4.7699999999999996</v>
      </c>
      <c r="H35" s="51">
        <f t="shared" si="1"/>
        <v>8.1089999999999995E-2</v>
      </c>
    </row>
    <row r="36" spans="1:8" ht="30" x14ac:dyDescent="0.25">
      <c r="B36" s="53" t="s">
        <v>1201</v>
      </c>
      <c r="C36" s="65" t="s">
        <v>1200</v>
      </c>
      <c r="D36" s="53" t="s">
        <v>143</v>
      </c>
      <c r="E36" s="49" t="s">
        <v>159</v>
      </c>
      <c r="F36" s="73">
        <v>0.37</v>
      </c>
      <c r="G36" s="51">
        <v>4.99</v>
      </c>
      <c r="H36" s="51">
        <f>F36*G36</f>
        <v>1.8463000000000001</v>
      </c>
    </row>
    <row r="37" spans="1:8" ht="30" x14ac:dyDescent="0.25">
      <c r="B37" s="47" t="s">
        <v>1203</v>
      </c>
      <c r="C37" s="47" t="s">
        <v>1202</v>
      </c>
      <c r="D37" s="53" t="s">
        <v>143</v>
      </c>
      <c r="E37" s="49" t="s">
        <v>159</v>
      </c>
      <c r="F37" s="73">
        <v>0.44</v>
      </c>
      <c r="G37" s="51">
        <v>1.79</v>
      </c>
      <c r="H37" s="51">
        <f t="shared" ref="H37:H39" si="2">F37*G37</f>
        <v>0.78759999999999997</v>
      </c>
    </row>
    <row r="38" spans="1:8" x14ac:dyDescent="0.25">
      <c r="B38" s="47" t="s">
        <v>1208</v>
      </c>
      <c r="C38" s="47" t="s">
        <v>1205</v>
      </c>
      <c r="D38" s="53" t="s">
        <v>143</v>
      </c>
      <c r="E38" s="49" t="s">
        <v>159</v>
      </c>
      <c r="F38" s="73">
        <v>1.38</v>
      </c>
      <c r="G38" s="51">
        <v>8.09</v>
      </c>
      <c r="H38" s="51">
        <f t="shared" si="2"/>
        <v>11.164199999999999</v>
      </c>
    </row>
    <row r="39" spans="1:8" x14ac:dyDescent="0.25">
      <c r="B39" s="47" t="s">
        <v>1209</v>
      </c>
      <c r="C39" s="47" t="s">
        <v>1204</v>
      </c>
      <c r="D39" s="53" t="s">
        <v>168</v>
      </c>
      <c r="E39" s="49" t="s">
        <v>159</v>
      </c>
      <c r="F39" s="73">
        <v>3.9E-2</v>
      </c>
      <c r="G39" s="51">
        <v>10.73</v>
      </c>
      <c r="H39" s="51">
        <f t="shared" si="2"/>
        <v>0.41847000000000001</v>
      </c>
    </row>
    <row r="40" spans="1:8" x14ac:dyDescent="0.25">
      <c r="B40" s="52" t="s">
        <v>130</v>
      </c>
      <c r="C40" s="192" t="s">
        <v>232</v>
      </c>
      <c r="D40" s="192"/>
      <c r="E40" s="192"/>
      <c r="F40" s="192"/>
      <c r="G40" s="192"/>
      <c r="H40" s="192"/>
    </row>
    <row r="43" spans="1:8" ht="15.75" x14ac:dyDescent="0.25">
      <c r="B43" s="214" t="s">
        <v>210</v>
      </c>
      <c r="C43" s="214"/>
      <c r="D43" s="214"/>
      <c r="E43" s="214"/>
      <c r="F43" s="214"/>
      <c r="G43" s="214"/>
      <c r="H43" s="214"/>
    </row>
    <row r="44" spans="1:8" x14ac:dyDescent="0.25">
      <c r="B44" s="38" t="s">
        <v>121</v>
      </c>
      <c r="C44" s="39" t="s">
        <v>122</v>
      </c>
      <c r="D44" s="38" t="s">
        <v>123</v>
      </c>
      <c r="E44" s="38" t="s">
        <v>124</v>
      </c>
      <c r="F44" s="84" t="s">
        <v>125</v>
      </c>
      <c r="G44" s="40" t="s">
        <v>126</v>
      </c>
      <c r="H44" s="41" t="s">
        <v>127</v>
      </c>
    </row>
    <row r="45" spans="1:8" ht="54" customHeight="1" x14ac:dyDescent="0.25">
      <c r="B45" s="42" t="s">
        <v>1116</v>
      </c>
      <c r="C45" s="43" t="s">
        <v>1115</v>
      </c>
      <c r="D45" s="44" t="s">
        <v>168</v>
      </c>
      <c r="E45" s="38" t="s">
        <v>128</v>
      </c>
      <c r="F45" s="84"/>
      <c r="G45" s="40"/>
      <c r="H45" s="45">
        <f>SUM(H48:H51)</f>
        <v>7.2756420000000004</v>
      </c>
    </row>
    <row r="46" spans="1:8" x14ac:dyDescent="0.25">
      <c r="B46" s="47" t="s">
        <v>1120</v>
      </c>
      <c r="C46" s="56" t="s">
        <v>1117</v>
      </c>
      <c r="D46" s="53" t="s">
        <v>138</v>
      </c>
      <c r="E46" s="49" t="s">
        <v>139</v>
      </c>
      <c r="F46" s="73">
        <v>6.0000000000000001E-3</v>
      </c>
      <c r="G46" s="51">
        <v>5.13</v>
      </c>
      <c r="H46" s="51">
        <f>F46*G46</f>
        <v>3.0779999999999998E-2</v>
      </c>
    </row>
    <row r="47" spans="1:8" x14ac:dyDescent="0.25">
      <c r="A47" s="59"/>
      <c r="B47" s="47" t="s">
        <v>235</v>
      </c>
      <c r="C47" s="119" t="s">
        <v>1118</v>
      </c>
      <c r="D47" s="53" t="s">
        <v>138</v>
      </c>
      <c r="E47" s="49" t="s">
        <v>139</v>
      </c>
      <c r="F47" s="73">
        <v>3.9E-2</v>
      </c>
      <c r="G47" s="51">
        <v>8.24</v>
      </c>
      <c r="H47" s="51">
        <f t="shared" ref="H47" si="3">F47*G47</f>
        <v>0.32136000000000003</v>
      </c>
    </row>
    <row r="48" spans="1:8" x14ac:dyDescent="0.25">
      <c r="B48" s="47"/>
      <c r="C48" s="60" t="s">
        <v>155</v>
      </c>
      <c r="D48" s="61" t="s">
        <v>156</v>
      </c>
      <c r="E48" s="38" t="s">
        <v>139</v>
      </c>
      <c r="F48" s="121">
        <v>1.3</v>
      </c>
      <c r="G48" s="63"/>
      <c r="H48" s="63">
        <f>(SUM(H46:H47))*(1+F48)</f>
        <v>0.80992199999999992</v>
      </c>
    </row>
    <row r="49" spans="1:8" ht="30" x14ac:dyDescent="0.25">
      <c r="B49" s="47" t="s">
        <v>1122</v>
      </c>
      <c r="C49" s="47" t="s">
        <v>1121</v>
      </c>
      <c r="D49" s="53" t="s">
        <v>117</v>
      </c>
      <c r="E49" s="49" t="s">
        <v>159</v>
      </c>
      <c r="F49" s="73">
        <v>0.71199999999999997</v>
      </c>
      <c r="G49" s="51">
        <v>8.5500000000000007</v>
      </c>
      <c r="H49" s="51">
        <f>F49*G49</f>
        <v>6.0876000000000001</v>
      </c>
    </row>
    <row r="50" spans="1:8" ht="30" x14ac:dyDescent="0.25">
      <c r="B50" s="47" t="s">
        <v>240</v>
      </c>
      <c r="C50" s="47" t="s">
        <v>1123</v>
      </c>
      <c r="D50" s="53" t="s">
        <v>1124</v>
      </c>
      <c r="E50" s="49" t="s">
        <v>159</v>
      </c>
      <c r="F50" s="73">
        <v>1.3819999999999999</v>
      </c>
      <c r="G50" s="51">
        <v>0.18</v>
      </c>
      <c r="H50" s="51">
        <f>F50*G50</f>
        <v>0.24875999999999998</v>
      </c>
    </row>
    <row r="51" spans="1:8" x14ac:dyDescent="0.25">
      <c r="B51" s="47" t="s">
        <v>1127</v>
      </c>
      <c r="C51" s="47" t="s">
        <v>1125</v>
      </c>
      <c r="D51" s="53" t="s">
        <v>168</v>
      </c>
      <c r="E51" s="49" t="s">
        <v>159</v>
      </c>
      <c r="F51" s="73">
        <v>1.0500000000000001E-2</v>
      </c>
      <c r="G51" s="51">
        <v>12.32</v>
      </c>
      <c r="H51" s="51">
        <f>F51*G51</f>
        <v>0.12936</v>
      </c>
    </row>
    <row r="52" spans="1:8" x14ac:dyDescent="0.25">
      <c r="B52" s="52" t="s">
        <v>130</v>
      </c>
      <c r="C52" s="192" t="s">
        <v>232</v>
      </c>
      <c r="D52" s="192"/>
      <c r="E52" s="192"/>
      <c r="F52" s="192"/>
      <c r="G52" s="192"/>
      <c r="H52" s="192"/>
    </row>
    <row r="55" spans="1:8" ht="15.75" x14ac:dyDescent="0.25">
      <c r="B55" s="214" t="s">
        <v>1186</v>
      </c>
      <c r="C55" s="214"/>
      <c r="D55" s="214"/>
      <c r="E55" s="214"/>
      <c r="F55" s="214"/>
      <c r="G55" s="214"/>
      <c r="H55" s="214"/>
    </row>
    <row r="56" spans="1:8" x14ac:dyDescent="0.25">
      <c r="B56" s="38" t="s">
        <v>121</v>
      </c>
      <c r="C56" s="39" t="s">
        <v>122</v>
      </c>
      <c r="D56" s="38" t="s">
        <v>123</v>
      </c>
      <c r="E56" s="38" t="s">
        <v>124</v>
      </c>
      <c r="F56" s="84" t="s">
        <v>125</v>
      </c>
      <c r="G56" s="40" t="s">
        <v>126</v>
      </c>
      <c r="H56" s="41" t="s">
        <v>127</v>
      </c>
    </row>
    <row r="57" spans="1:8" ht="30" x14ac:dyDescent="0.25">
      <c r="B57" s="42" t="s">
        <v>1185</v>
      </c>
      <c r="C57" s="43" t="s">
        <v>1184</v>
      </c>
      <c r="D57" s="44" t="s">
        <v>135</v>
      </c>
      <c r="E57" s="38" t="s">
        <v>128</v>
      </c>
      <c r="F57" s="84"/>
      <c r="G57" s="40"/>
      <c r="H57" s="45">
        <f>SUM(H60:H63)</f>
        <v>375.33704999999998</v>
      </c>
    </row>
    <row r="58" spans="1:8" x14ac:dyDescent="0.25">
      <c r="B58" s="46" t="s">
        <v>666</v>
      </c>
      <c r="C58" s="47" t="s">
        <v>1148</v>
      </c>
      <c r="D58" s="49" t="s">
        <v>138</v>
      </c>
      <c r="E58" s="49" t="s">
        <v>139</v>
      </c>
      <c r="F58" s="73">
        <v>0.41099999999999998</v>
      </c>
      <c r="G58" s="88">
        <v>8.24</v>
      </c>
      <c r="H58" s="51">
        <f>F58*G58</f>
        <v>3.3866399999999999</v>
      </c>
    </row>
    <row r="59" spans="1:8" x14ac:dyDescent="0.25">
      <c r="A59" s="59"/>
      <c r="B59" s="46" t="s">
        <v>656</v>
      </c>
      <c r="C59" s="47" t="s">
        <v>1111</v>
      </c>
      <c r="D59" s="49" t="s">
        <v>138</v>
      </c>
      <c r="E59" s="49" t="s">
        <v>139</v>
      </c>
      <c r="F59" s="73">
        <v>0.41099999999999998</v>
      </c>
      <c r="G59" s="88">
        <v>4.8600000000000003</v>
      </c>
      <c r="H59" s="51">
        <f t="shared" ref="H59" si="4">F59*G59</f>
        <v>1.99746</v>
      </c>
    </row>
    <row r="60" spans="1:8" ht="33" customHeight="1" x14ac:dyDescent="0.25">
      <c r="B60" s="47"/>
      <c r="C60" s="43" t="s">
        <v>155</v>
      </c>
      <c r="D60" s="61" t="s">
        <v>156</v>
      </c>
      <c r="E60" s="38" t="s">
        <v>139</v>
      </c>
      <c r="F60" s="121">
        <v>1.3</v>
      </c>
      <c r="G60" s="63"/>
      <c r="H60" s="63">
        <f>(SUM(H58:H59))*(1+F60)</f>
        <v>12.383429999999999</v>
      </c>
    </row>
    <row r="61" spans="1:8" ht="33" customHeight="1" x14ac:dyDescent="0.25">
      <c r="B61" s="47" t="s">
        <v>1191</v>
      </c>
      <c r="C61" s="47" t="s">
        <v>1187</v>
      </c>
      <c r="D61" s="53" t="s">
        <v>1189</v>
      </c>
      <c r="E61" s="49" t="s">
        <v>129</v>
      </c>
      <c r="F61" s="73">
        <v>5.2999999999999999E-2</v>
      </c>
      <c r="G61" s="51">
        <v>0.33</v>
      </c>
      <c r="H61" s="51">
        <f>F61*G61</f>
        <v>1.7489999999999999E-2</v>
      </c>
    </row>
    <row r="62" spans="1:8" ht="33" customHeight="1" x14ac:dyDescent="0.25">
      <c r="B62" s="47" t="s">
        <v>1192</v>
      </c>
      <c r="C62" s="47" t="s">
        <v>1151</v>
      </c>
      <c r="D62" s="53" t="s">
        <v>1190</v>
      </c>
      <c r="E62" s="49" t="s">
        <v>129</v>
      </c>
      <c r="F62" s="73">
        <v>4.9000000000000002E-2</v>
      </c>
      <c r="G62" s="51">
        <v>1.57</v>
      </c>
      <c r="H62" s="51">
        <f>F62*G62</f>
        <v>7.6930000000000012E-2</v>
      </c>
    </row>
    <row r="63" spans="1:8" ht="30" x14ac:dyDescent="0.25">
      <c r="B63" s="53" t="s">
        <v>1193</v>
      </c>
      <c r="C63" s="65" t="s">
        <v>1188</v>
      </c>
      <c r="D63" s="49" t="s">
        <v>228</v>
      </c>
      <c r="E63" s="49" t="s">
        <v>159</v>
      </c>
      <c r="F63" s="73">
        <v>1.06</v>
      </c>
      <c r="G63" s="54">
        <v>342.32</v>
      </c>
      <c r="H63" s="51">
        <f>F63*G63</f>
        <v>362.85919999999999</v>
      </c>
    </row>
    <row r="64" spans="1:8" x14ac:dyDescent="0.25">
      <c r="B64" s="52" t="s">
        <v>130</v>
      </c>
      <c r="C64" s="192" t="s">
        <v>519</v>
      </c>
      <c r="D64" s="192"/>
      <c r="E64" s="192"/>
      <c r="F64" s="192"/>
      <c r="G64" s="192"/>
      <c r="H64" s="192"/>
    </row>
    <row r="67" spans="1:8" ht="15.75" x14ac:dyDescent="0.25">
      <c r="B67" s="203" t="s">
        <v>229</v>
      </c>
      <c r="C67" s="203"/>
      <c r="D67" s="203"/>
      <c r="E67" s="203"/>
      <c r="F67" s="203"/>
      <c r="G67" s="203"/>
      <c r="H67" s="203"/>
    </row>
    <row r="68" spans="1:8" x14ac:dyDescent="0.25">
      <c r="B68" s="38" t="s">
        <v>121</v>
      </c>
      <c r="C68" s="39" t="s">
        <v>122</v>
      </c>
      <c r="D68" s="38" t="s">
        <v>123</v>
      </c>
      <c r="E68" s="38" t="s">
        <v>124</v>
      </c>
      <c r="F68" s="84" t="s">
        <v>125</v>
      </c>
      <c r="G68" s="40" t="s">
        <v>126</v>
      </c>
      <c r="H68" s="41" t="s">
        <v>127</v>
      </c>
    </row>
    <row r="69" spans="1:8" x14ac:dyDescent="0.25">
      <c r="B69" s="42"/>
      <c r="C69" s="43"/>
      <c r="D69" s="44"/>
      <c r="E69" s="38"/>
      <c r="F69" s="84"/>
      <c r="G69" s="40"/>
      <c r="H69" s="45">
        <f>SUM(H70:H72)</f>
        <v>0</v>
      </c>
    </row>
    <row r="70" spans="1:8" x14ac:dyDescent="0.25">
      <c r="B70" s="53"/>
      <c r="C70" s="47"/>
      <c r="D70" s="49"/>
      <c r="E70" s="49"/>
      <c r="F70" s="73"/>
      <c r="G70" s="40"/>
      <c r="H70" s="51">
        <f t="shared" ref="H70:H71" si="5">F70*G70</f>
        <v>0</v>
      </c>
    </row>
    <row r="71" spans="1:8" ht="33" customHeight="1" x14ac:dyDescent="0.25">
      <c r="B71" s="53"/>
      <c r="C71" s="47"/>
      <c r="D71" s="49"/>
      <c r="E71" s="49"/>
      <c r="F71" s="73"/>
      <c r="G71" s="40"/>
      <c r="H71" s="51">
        <f t="shared" si="5"/>
        <v>0</v>
      </c>
    </row>
    <row r="72" spans="1:8" x14ac:dyDescent="0.25">
      <c r="B72" s="53"/>
      <c r="C72" s="65"/>
      <c r="D72" s="49"/>
      <c r="E72" s="49"/>
      <c r="F72" s="73"/>
      <c r="G72" s="54"/>
      <c r="H72" s="51">
        <f>F72*G72</f>
        <v>0</v>
      </c>
    </row>
    <row r="73" spans="1:8" x14ac:dyDescent="0.25">
      <c r="B73" s="52" t="s">
        <v>130</v>
      </c>
      <c r="C73" s="192"/>
      <c r="D73" s="192"/>
      <c r="E73" s="192"/>
      <c r="F73" s="192"/>
      <c r="G73" s="192"/>
      <c r="H73" s="192"/>
    </row>
    <row r="76" spans="1:8" ht="15.75" x14ac:dyDescent="0.25">
      <c r="B76" s="214" t="s">
        <v>1217</v>
      </c>
      <c r="C76" s="214"/>
      <c r="D76" s="214"/>
      <c r="E76" s="214"/>
      <c r="F76" s="214"/>
      <c r="G76" s="214"/>
      <c r="H76" s="214"/>
    </row>
    <row r="77" spans="1:8" x14ac:dyDescent="0.25">
      <c r="B77" s="38" t="s">
        <v>121</v>
      </c>
      <c r="C77" s="39" t="s">
        <v>122</v>
      </c>
      <c r="D77" s="38" t="s">
        <v>123</v>
      </c>
      <c r="E77" s="38" t="s">
        <v>124</v>
      </c>
      <c r="F77" s="84" t="s">
        <v>125</v>
      </c>
      <c r="G77" s="40" t="s">
        <v>126</v>
      </c>
      <c r="H77" s="41" t="s">
        <v>127</v>
      </c>
    </row>
    <row r="78" spans="1:8" ht="30" x14ac:dyDescent="0.25">
      <c r="B78" s="42" t="s">
        <v>1179</v>
      </c>
      <c r="C78" s="43" t="s">
        <v>1213</v>
      </c>
      <c r="D78" s="44" t="s">
        <v>117</v>
      </c>
      <c r="E78" s="38" t="s">
        <v>128</v>
      </c>
      <c r="F78" s="84"/>
      <c r="G78" s="40"/>
      <c r="H78" s="45">
        <f>SUM(H81:H83)</f>
        <v>17.786254399999997</v>
      </c>
    </row>
    <row r="79" spans="1:8" x14ac:dyDescent="0.25">
      <c r="B79" s="47" t="s">
        <v>1120</v>
      </c>
      <c r="C79" s="56" t="s">
        <v>1117</v>
      </c>
      <c r="D79" s="68" t="s">
        <v>138</v>
      </c>
      <c r="E79" s="49" t="s">
        <v>139</v>
      </c>
      <c r="F79" s="123">
        <v>0.50660000000000005</v>
      </c>
      <c r="G79" s="51">
        <v>8.24</v>
      </c>
      <c r="H79" s="51">
        <f>F79*G79</f>
        <v>4.1743840000000008</v>
      </c>
    </row>
    <row r="80" spans="1:8" x14ac:dyDescent="0.25">
      <c r="A80" s="59"/>
      <c r="B80" s="47" t="s">
        <v>235</v>
      </c>
      <c r="C80" s="119" t="s">
        <v>1118</v>
      </c>
      <c r="D80" s="69" t="s">
        <v>138</v>
      </c>
      <c r="E80" s="49" t="s">
        <v>139</v>
      </c>
      <c r="F80" s="73">
        <v>0.3649</v>
      </c>
      <c r="G80" s="51">
        <v>4.8600000000000003</v>
      </c>
      <c r="H80" s="51">
        <f>F80*G80</f>
        <v>1.773414</v>
      </c>
    </row>
    <row r="81" spans="1:8" x14ac:dyDescent="0.25">
      <c r="B81" s="47"/>
      <c r="C81" s="43" t="s">
        <v>155</v>
      </c>
      <c r="D81" s="61" t="s">
        <v>156</v>
      </c>
      <c r="E81" s="38" t="s">
        <v>139</v>
      </c>
      <c r="F81" s="121">
        <v>1.3</v>
      </c>
      <c r="G81" s="63"/>
      <c r="H81" s="63">
        <f>(SUM(H79:H80))*(1+F81)</f>
        <v>13.6799354</v>
      </c>
    </row>
    <row r="82" spans="1:8" x14ac:dyDescent="0.25">
      <c r="B82" s="46" t="s">
        <v>657</v>
      </c>
      <c r="C82" s="47" t="s">
        <v>1137</v>
      </c>
      <c r="D82" s="69" t="s">
        <v>173</v>
      </c>
      <c r="E82" s="49" t="s">
        <v>159</v>
      </c>
      <c r="F82" s="73">
        <v>3.3300000000000003E-2</v>
      </c>
      <c r="G82" s="51">
        <v>11.83</v>
      </c>
      <c r="H82" s="51">
        <f t="shared" ref="H82:H83" si="6">F82*G82</f>
        <v>0.39393900000000004</v>
      </c>
    </row>
    <row r="83" spans="1:8" ht="45" x14ac:dyDescent="0.25">
      <c r="B83" s="46" t="s">
        <v>659</v>
      </c>
      <c r="C83" s="47" t="s">
        <v>1138</v>
      </c>
      <c r="D83" s="69" t="s">
        <v>117</v>
      </c>
      <c r="E83" s="49" t="s">
        <v>159</v>
      </c>
      <c r="F83" s="73">
        <v>2.8E-3</v>
      </c>
      <c r="G83" s="51">
        <v>1325.85</v>
      </c>
      <c r="H83" s="51">
        <f t="shared" si="6"/>
        <v>3.7123799999999996</v>
      </c>
    </row>
    <row r="84" spans="1:8" x14ac:dyDescent="0.25">
      <c r="B84" s="52" t="s">
        <v>130</v>
      </c>
      <c r="C84" s="192" t="s">
        <v>232</v>
      </c>
      <c r="D84" s="192"/>
      <c r="E84" s="192"/>
      <c r="F84" s="192"/>
      <c r="G84" s="192"/>
      <c r="H84" s="192"/>
    </row>
    <row r="87" spans="1:8" ht="15.75" x14ac:dyDescent="0.25">
      <c r="B87" s="214" t="s">
        <v>1128</v>
      </c>
      <c r="C87" s="214"/>
      <c r="D87" s="214"/>
      <c r="E87" s="214"/>
      <c r="F87" s="214"/>
      <c r="G87" s="214"/>
      <c r="H87" s="214"/>
    </row>
    <row r="88" spans="1:8" x14ac:dyDescent="0.25">
      <c r="B88" s="38" t="s">
        <v>121</v>
      </c>
      <c r="C88" s="39" t="s">
        <v>122</v>
      </c>
      <c r="D88" s="38" t="s">
        <v>123</v>
      </c>
      <c r="E88" s="38" t="s">
        <v>124</v>
      </c>
      <c r="F88" s="84" t="s">
        <v>125</v>
      </c>
      <c r="G88" s="40" t="s">
        <v>126</v>
      </c>
      <c r="H88" s="41" t="s">
        <v>127</v>
      </c>
    </row>
    <row r="89" spans="1:8" ht="30" x14ac:dyDescent="0.25">
      <c r="B89" s="42" t="s">
        <v>1130</v>
      </c>
      <c r="C89" s="43" t="s">
        <v>1129</v>
      </c>
      <c r="D89" s="44" t="s">
        <v>168</v>
      </c>
      <c r="E89" s="38" t="s">
        <v>128</v>
      </c>
      <c r="F89" s="84"/>
      <c r="G89" s="40"/>
      <c r="H89" s="45">
        <f>SUM(H92:H95)</f>
        <v>5.1310119999999992</v>
      </c>
    </row>
    <row r="90" spans="1:8" x14ac:dyDescent="0.25">
      <c r="B90" s="47" t="s">
        <v>1120</v>
      </c>
      <c r="C90" s="56" t="s">
        <v>1117</v>
      </c>
      <c r="D90" s="50" t="s">
        <v>138</v>
      </c>
      <c r="E90" s="49" t="s">
        <v>139</v>
      </c>
      <c r="F90" s="123">
        <v>6.0000000000000001E-3</v>
      </c>
      <c r="G90" s="51">
        <v>5.13</v>
      </c>
      <c r="H90" s="51">
        <f>F90*G90</f>
        <v>3.0779999999999998E-2</v>
      </c>
    </row>
    <row r="91" spans="1:8" x14ac:dyDescent="0.25">
      <c r="A91" s="59"/>
      <c r="B91" s="47" t="s">
        <v>235</v>
      </c>
      <c r="C91" s="119" t="s">
        <v>1118</v>
      </c>
      <c r="D91" s="69" t="s">
        <v>138</v>
      </c>
      <c r="E91" s="49" t="s">
        <v>139</v>
      </c>
      <c r="F91" s="71">
        <v>3.9E-2</v>
      </c>
      <c r="G91" s="51">
        <v>8.24</v>
      </c>
      <c r="H91" s="51">
        <f>F91*G91</f>
        <v>0.32136000000000003</v>
      </c>
    </row>
    <row r="92" spans="1:8" x14ac:dyDescent="0.25">
      <c r="B92" s="47"/>
      <c r="C92" s="43" t="s">
        <v>155</v>
      </c>
      <c r="D92" s="61" t="s">
        <v>156</v>
      </c>
      <c r="E92" s="38" t="s">
        <v>139</v>
      </c>
      <c r="F92" s="121">
        <v>1.3</v>
      </c>
      <c r="G92" s="63"/>
      <c r="H92" s="63">
        <f>(SUM(H90:H91))*(1+F92)</f>
        <v>0.80992199999999992</v>
      </c>
    </row>
    <row r="93" spans="1:8" x14ac:dyDescent="0.25">
      <c r="B93" s="46" t="s">
        <v>236</v>
      </c>
      <c r="C93" s="47" t="s">
        <v>1125</v>
      </c>
      <c r="D93" s="69" t="s">
        <v>168</v>
      </c>
      <c r="E93" s="49" t="s">
        <v>159</v>
      </c>
      <c r="F93" s="71">
        <v>1.0500000000000001E-2</v>
      </c>
      <c r="G93" s="51">
        <v>12.32</v>
      </c>
      <c r="H93" s="51">
        <f>F93*G93</f>
        <v>0.12936</v>
      </c>
    </row>
    <row r="94" spans="1:8" ht="30" x14ac:dyDescent="0.25">
      <c r="B94" s="46" t="s">
        <v>238</v>
      </c>
      <c r="C94" s="47" t="s">
        <v>1131</v>
      </c>
      <c r="D94" s="69" t="s">
        <v>117</v>
      </c>
      <c r="E94" s="49" t="s">
        <v>159</v>
      </c>
      <c r="F94" s="71">
        <v>0.499</v>
      </c>
      <c r="G94" s="51">
        <v>8.23</v>
      </c>
      <c r="H94" s="51">
        <f>F94*G94</f>
        <v>4.10677</v>
      </c>
    </row>
    <row r="95" spans="1:8" ht="30" x14ac:dyDescent="0.25">
      <c r="B95" s="46" t="s">
        <v>240</v>
      </c>
      <c r="C95" s="47" t="s">
        <v>1123</v>
      </c>
      <c r="D95" s="69" t="s">
        <v>123</v>
      </c>
      <c r="E95" s="49" t="s">
        <v>159</v>
      </c>
      <c r="F95" s="71">
        <v>0.47199999999999998</v>
      </c>
      <c r="G95" s="51">
        <v>0.18</v>
      </c>
      <c r="H95" s="51">
        <f>F95*G95</f>
        <v>8.4959999999999994E-2</v>
      </c>
    </row>
    <row r="96" spans="1:8" x14ac:dyDescent="0.25">
      <c r="B96" s="52" t="s">
        <v>130</v>
      </c>
      <c r="C96" s="192" t="s">
        <v>232</v>
      </c>
      <c r="D96" s="192"/>
      <c r="E96" s="192"/>
      <c r="F96" s="192"/>
      <c r="G96" s="192"/>
      <c r="H96" s="192"/>
    </row>
    <row r="99" spans="1:8" ht="15.75" x14ac:dyDescent="0.25">
      <c r="B99" s="214" t="s">
        <v>1132</v>
      </c>
      <c r="C99" s="214"/>
      <c r="D99" s="214"/>
      <c r="E99" s="214"/>
      <c r="F99" s="214"/>
      <c r="G99" s="214"/>
      <c r="H99" s="214"/>
    </row>
    <row r="100" spans="1:8" x14ac:dyDescent="0.25">
      <c r="B100" s="38" t="s">
        <v>121</v>
      </c>
      <c r="C100" s="39" t="s">
        <v>122</v>
      </c>
      <c r="D100" s="38" t="s">
        <v>123</v>
      </c>
      <c r="E100" s="38" t="s">
        <v>124</v>
      </c>
      <c r="F100" s="84" t="s">
        <v>125</v>
      </c>
      <c r="G100" s="40" t="s">
        <v>126</v>
      </c>
      <c r="H100" s="41" t="s">
        <v>127</v>
      </c>
    </row>
    <row r="101" spans="1:8" ht="30" x14ac:dyDescent="0.25">
      <c r="B101" s="42" t="s">
        <v>1134</v>
      </c>
      <c r="C101" s="43" t="s">
        <v>1133</v>
      </c>
      <c r="D101" s="44" t="s">
        <v>168</v>
      </c>
      <c r="E101" s="38" t="s">
        <v>128</v>
      </c>
      <c r="F101" s="84"/>
      <c r="G101" s="40"/>
      <c r="H101" s="45">
        <f>SUM(H104:H107)</f>
        <v>7.0932629999999994</v>
      </c>
    </row>
    <row r="102" spans="1:8" ht="16.5" customHeight="1" x14ac:dyDescent="0.25">
      <c r="B102" s="47" t="s">
        <v>1120</v>
      </c>
      <c r="C102" s="56" t="s">
        <v>1117</v>
      </c>
      <c r="D102" s="50" t="s">
        <v>138</v>
      </c>
      <c r="E102" s="49" t="s">
        <v>139</v>
      </c>
      <c r="F102" s="73">
        <v>7.0000000000000001E-3</v>
      </c>
      <c r="G102" s="51">
        <v>5.13</v>
      </c>
      <c r="H102" s="51">
        <f>F102*G102</f>
        <v>3.5909999999999997E-2</v>
      </c>
    </row>
    <row r="103" spans="1:8" x14ac:dyDescent="0.25">
      <c r="A103" s="59"/>
      <c r="B103" s="47" t="s">
        <v>235</v>
      </c>
      <c r="C103" s="119" t="s">
        <v>1118</v>
      </c>
      <c r="D103" s="69" t="s">
        <v>138</v>
      </c>
      <c r="E103" s="49" t="s">
        <v>139</v>
      </c>
      <c r="F103" s="73">
        <v>4.4999999999999998E-2</v>
      </c>
      <c r="G103" s="51">
        <v>8.24</v>
      </c>
      <c r="H103" s="51">
        <f>F103*G103</f>
        <v>0.37080000000000002</v>
      </c>
    </row>
    <row r="104" spans="1:8" x14ac:dyDescent="0.25">
      <c r="B104" s="47"/>
      <c r="C104" s="43" t="s">
        <v>155</v>
      </c>
      <c r="D104" s="61" t="s">
        <v>156</v>
      </c>
      <c r="E104" s="38" t="s">
        <v>139</v>
      </c>
      <c r="F104" s="121">
        <v>1.3</v>
      </c>
      <c r="G104" s="63"/>
      <c r="H104" s="63">
        <f>(SUM(H102:H103))*(1+F104)</f>
        <v>0.93543299999999996</v>
      </c>
    </row>
    <row r="105" spans="1:8" x14ac:dyDescent="0.25">
      <c r="B105" s="46" t="s">
        <v>236</v>
      </c>
      <c r="C105" s="47" t="s">
        <v>1125</v>
      </c>
      <c r="D105" s="69" t="s">
        <v>168</v>
      </c>
      <c r="E105" s="49" t="s">
        <v>159</v>
      </c>
      <c r="F105" s="73">
        <v>1.0500000000000001E-2</v>
      </c>
      <c r="G105" s="51">
        <v>12.32</v>
      </c>
      <c r="H105" s="51">
        <f t="shared" ref="H105:H107" si="7">F105*G105</f>
        <v>0.12936</v>
      </c>
    </row>
    <row r="106" spans="1:8" ht="30" x14ac:dyDescent="0.25">
      <c r="B106" s="46" t="s">
        <v>663</v>
      </c>
      <c r="C106" s="47" t="s">
        <v>1135</v>
      </c>
      <c r="D106" s="69" t="s">
        <v>117</v>
      </c>
      <c r="E106" s="49" t="s">
        <v>159</v>
      </c>
      <c r="F106" s="73">
        <v>0.58499999999999996</v>
      </c>
      <c r="G106" s="51">
        <v>9.93</v>
      </c>
      <c r="H106" s="51">
        <f t="shared" si="7"/>
        <v>5.8090499999999992</v>
      </c>
    </row>
    <row r="107" spans="1:8" ht="30" x14ac:dyDescent="0.25">
      <c r="B107" s="46" t="s">
        <v>664</v>
      </c>
      <c r="C107" s="47" t="s">
        <v>1123</v>
      </c>
      <c r="D107" s="69" t="s">
        <v>123</v>
      </c>
      <c r="E107" s="49" t="s">
        <v>159</v>
      </c>
      <c r="F107" s="73">
        <v>1.2190000000000001</v>
      </c>
      <c r="G107" s="51">
        <v>0.18</v>
      </c>
      <c r="H107" s="51">
        <f t="shared" si="7"/>
        <v>0.21942</v>
      </c>
    </row>
    <row r="108" spans="1:8" x14ac:dyDescent="0.25">
      <c r="B108" s="52" t="s">
        <v>130</v>
      </c>
      <c r="C108" s="192" t="s">
        <v>232</v>
      </c>
      <c r="D108" s="192"/>
      <c r="E108" s="192"/>
      <c r="F108" s="192"/>
      <c r="G108" s="192"/>
      <c r="H108" s="192"/>
    </row>
    <row r="111" spans="1:8" ht="15.75" x14ac:dyDescent="0.25">
      <c r="B111" s="215" t="s">
        <v>1182</v>
      </c>
      <c r="C111" s="216"/>
      <c r="D111" s="216"/>
      <c r="E111" s="216"/>
      <c r="F111" s="216"/>
      <c r="G111" s="216"/>
      <c r="H111" s="217"/>
    </row>
    <row r="112" spans="1:8" x14ac:dyDescent="0.25">
      <c r="B112" s="38" t="s">
        <v>121</v>
      </c>
      <c r="C112" s="39" t="s">
        <v>122</v>
      </c>
      <c r="D112" s="38" t="s">
        <v>123</v>
      </c>
      <c r="E112" s="38" t="s">
        <v>124</v>
      </c>
      <c r="F112" s="84" t="s">
        <v>125</v>
      </c>
      <c r="G112" s="40" t="s">
        <v>126</v>
      </c>
      <c r="H112" s="41" t="s">
        <v>127</v>
      </c>
    </row>
    <row r="113" spans="1:8" ht="45" x14ac:dyDescent="0.25">
      <c r="B113" s="42" t="s">
        <v>665</v>
      </c>
      <c r="C113" s="43" t="s">
        <v>1146</v>
      </c>
      <c r="D113" s="44" t="s">
        <v>135</v>
      </c>
      <c r="E113" s="38" t="s">
        <v>128</v>
      </c>
      <c r="F113" s="84"/>
      <c r="G113" s="40"/>
      <c r="H113" s="45">
        <f>SUM(H117:H120)</f>
        <v>408.93649400000004</v>
      </c>
    </row>
    <row r="114" spans="1:8" x14ac:dyDescent="0.25">
      <c r="B114" s="46" t="s">
        <v>655</v>
      </c>
      <c r="C114" s="47" t="s">
        <v>1147</v>
      </c>
      <c r="D114" s="72" t="s">
        <v>138</v>
      </c>
      <c r="E114" s="49" t="s">
        <v>139</v>
      </c>
      <c r="F114" s="123">
        <v>0.16300000000000001</v>
      </c>
      <c r="G114" s="51">
        <v>8.24</v>
      </c>
      <c r="H114" s="51">
        <f>F114*G114</f>
        <v>1.3431200000000001</v>
      </c>
    </row>
    <row r="115" spans="1:8" x14ac:dyDescent="0.25">
      <c r="B115" s="46" t="s">
        <v>666</v>
      </c>
      <c r="C115" s="47" t="s">
        <v>1148</v>
      </c>
      <c r="D115" s="69" t="s">
        <v>138</v>
      </c>
      <c r="E115" s="49" t="s">
        <v>139</v>
      </c>
      <c r="F115" s="73">
        <v>0.65300000000000002</v>
      </c>
      <c r="G115" s="51">
        <v>8.24</v>
      </c>
      <c r="H115" s="51">
        <f>F115*G115</f>
        <v>5.3807200000000002</v>
      </c>
    </row>
    <row r="116" spans="1:8" x14ac:dyDescent="0.25">
      <c r="A116" s="59"/>
      <c r="B116" s="46" t="s">
        <v>656</v>
      </c>
      <c r="C116" s="47" t="s">
        <v>1111</v>
      </c>
      <c r="D116" s="69" t="s">
        <v>138</v>
      </c>
      <c r="E116" s="49" t="s">
        <v>139</v>
      </c>
      <c r="F116" s="73">
        <v>0.73399999999999999</v>
      </c>
      <c r="G116" s="51">
        <v>4.8600000000000003</v>
      </c>
      <c r="H116" s="51">
        <f t="shared" ref="H116:H120" si="8">F116*G116</f>
        <v>3.56724</v>
      </c>
    </row>
    <row r="117" spans="1:8" x14ac:dyDescent="0.25">
      <c r="B117" s="47"/>
      <c r="C117" s="43" t="s">
        <v>155</v>
      </c>
      <c r="D117" s="61" t="s">
        <v>156</v>
      </c>
      <c r="E117" s="38" t="s">
        <v>139</v>
      </c>
      <c r="F117" s="121">
        <v>1.3</v>
      </c>
      <c r="G117" s="63"/>
      <c r="H117" s="63">
        <f>(SUM(H114:H116))*(1+F117)</f>
        <v>23.669484000000001</v>
      </c>
    </row>
    <row r="118" spans="1:8" ht="30" x14ac:dyDescent="0.25">
      <c r="B118" s="46" t="s">
        <v>667</v>
      </c>
      <c r="C118" s="47" t="s">
        <v>1150</v>
      </c>
      <c r="D118" s="69" t="s">
        <v>135</v>
      </c>
      <c r="E118" s="49" t="s">
        <v>159</v>
      </c>
      <c r="F118" s="73">
        <v>1.0900000000000001</v>
      </c>
      <c r="G118" s="51">
        <v>352.39</v>
      </c>
      <c r="H118" s="51">
        <f t="shared" si="8"/>
        <v>384.10509999999999</v>
      </c>
    </row>
    <row r="119" spans="1:8" x14ac:dyDescent="0.25">
      <c r="B119" s="46" t="s">
        <v>669</v>
      </c>
      <c r="C119" s="47" t="s">
        <v>1149</v>
      </c>
      <c r="D119" s="72" t="s">
        <v>249</v>
      </c>
      <c r="E119" s="49" t="s">
        <v>129</v>
      </c>
      <c r="F119" s="73">
        <v>0.06</v>
      </c>
      <c r="G119" s="57">
        <v>16.670000000000002</v>
      </c>
      <c r="H119" s="51">
        <f t="shared" si="8"/>
        <v>1.0002</v>
      </c>
    </row>
    <row r="120" spans="1:8" ht="30" x14ac:dyDescent="0.25">
      <c r="B120" s="46" t="s">
        <v>671</v>
      </c>
      <c r="C120" s="47" t="s">
        <v>1151</v>
      </c>
      <c r="D120" s="72" t="s">
        <v>250</v>
      </c>
      <c r="E120" s="49" t="s">
        <v>129</v>
      </c>
      <c r="F120" s="73">
        <v>0.10299999999999999</v>
      </c>
      <c r="G120" s="57">
        <v>1.57</v>
      </c>
      <c r="H120" s="51">
        <f t="shared" si="8"/>
        <v>0.16170999999999999</v>
      </c>
    </row>
    <row r="121" spans="1:8" x14ac:dyDescent="0.25">
      <c r="B121" s="52" t="s">
        <v>130</v>
      </c>
      <c r="C121" s="195" t="s">
        <v>232</v>
      </c>
      <c r="D121" s="196"/>
      <c r="E121" s="196"/>
      <c r="F121" s="196"/>
      <c r="G121" s="196"/>
      <c r="H121" s="197"/>
    </row>
    <row r="124" spans="1:8" ht="15.75" x14ac:dyDescent="0.25">
      <c r="B124" s="203" t="s">
        <v>251</v>
      </c>
      <c r="C124" s="203"/>
      <c r="D124" s="203"/>
      <c r="E124" s="203"/>
      <c r="F124" s="203"/>
      <c r="G124" s="203"/>
      <c r="H124" s="203"/>
    </row>
    <row r="125" spans="1:8" x14ac:dyDescent="0.25">
      <c r="B125" s="38" t="s">
        <v>121</v>
      </c>
      <c r="C125" s="39" t="s">
        <v>122</v>
      </c>
      <c r="D125" s="38" t="s">
        <v>123</v>
      </c>
      <c r="E125" s="38" t="s">
        <v>124</v>
      </c>
      <c r="F125" s="84" t="s">
        <v>125</v>
      </c>
      <c r="G125" s="40" t="s">
        <v>126</v>
      </c>
      <c r="H125" s="41" t="s">
        <v>127</v>
      </c>
    </row>
    <row r="126" spans="1:8" x14ac:dyDescent="0.25">
      <c r="B126" s="42"/>
      <c r="C126" s="43"/>
      <c r="D126" s="44"/>
      <c r="E126" s="38"/>
      <c r="F126" s="84"/>
      <c r="G126" s="40"/>
      <c r="H126" s="45">
        <f>SUM(H127:H129)</f>
        <v>0</v>
      </c>
    </row>
    <row r="127" spans="1:8" x14ac:dyDescent="0.25">
      <c r="B127" s="53"/>
      <c r="C127" s="47"/>
      <c r="D127" s="49"/>
      <c r="E127" s="49"/>
      <c r="F127" s="73"/>
      <c r="G127" s="40"/>
      <c r="H127" s="51">
        <f t="shared" ref="H127:H128" si="9">F127*G127</f>
        <v>0</v>
      </c>
    </row>
    <row r="128" spans="1:8" ht="33" customHeight="1" x14ac:dyDescent="0.25">
      <c r="B128" s="53"/>
      <c r="C128" s="47"/>
      <c r="D128" s="49"/>
      <c r="E128" s="49"/>
      <c r="F128" s="73"/>
      <c r="G128" s="40"/>
      <c r="H128" s="51">
        <f t="shared" si="9"/>
        <v>0</v>
      </c>
    </row>
    <row r="129" spans="1:8" x14ac:dyDescent="0.25">
      <c r="B129" s="53"/>
      <c r="C129" s="65"/>
      <c r="D129" s="49"/>
      <c r="E129" s="49"/>
      <c r="F129" s="73"/>
      <c r="G129" s="54"/>
      <c r="H129" s="51">
        <f>F129*G129</f>
        <v>0</v>
      </c>
    </row>
    <row r="130" spans="1:8" x14ac:dyDescent="0.25">
      <c r="B130" s="52" t="s">
        <v>130</v>
      </c>
      <c r="C130" s="192"/>
      <c r="D130" s="192"/>
      <c r="E130" s="192"/>
      <c r="F130" s="192"/>
      <c r="G130" s="192"/>
      <c r="H130" s="192"/>
    </row>
    <row r="133" spans="1:8" ht="15.75" x14ac:dyDescent="0.25">
      <c r="B133" s="214" t="s">
        <v>1218</v>
      </c>
      <c r="C133" s="214"/>
      <c r="D133" s="214"/>
      <c r="E133" s="214"/>
      <c r="F133" s="214"/>
      <c r="G133" s="214"/>
      <c r="H133" s="214"/>
    </row>
    <row r="134" spans="1:8" x14ac:dyDescent="0.25">
      <c r="B134" s="38" t="s">
        <v>121</v>
      </c>
      <c r="C134" s="39" t="s">
        <v>122</v>
      </c>
      <c r="D134" s="38" t="s">
        <v>123</v>
      </c>
      <c r="E134" s="38" t="s">
        <v>124</v>
      </c>
      <c r="F134" s="84" t="s">
        <v>125</v>
      </c>
      <c r="G134" s="40" t="s">
        <v>126</v>
      </c>
      <c r="H134" s="41" t="s">
        <v>127</v>
      </c>
    </row>
    <row r="135" spans="1:8" ht="30" x14ac:dyDescent="0.25">
      <c r="B135" s="42" t="s">
        <v>673</v>
      </c>
      <c r="C135" s="43" t="s">
        <v>1220</v>
      </c>
      <c r="D135" s="44" t="s">
        <v>117</v>
      </c>
      <c r="E135" s="38" t="s">
        <v>128</v>
      </c>
      <c r="F135" s="84"/>
      <c r="G135" s="40"/>
      <c r="H135" s="45">
        <f>SUM(H138:H140)</f>
        <v>14.783434199999997</v>
      </c>
    </row>
    <row r="136" spans="1:8" x14ac:dyDescent="0.25">
      <c r="B136" s="46" t="s">
        <v>655</v>
      </c>
      <c r="C136" s="47" t="s">
        <v>1136</v>
      </c>
      <c r="D136" s="50" t="s">
        <v>138</v>
      </c>
      <c r="E136" s="49" t="s">
        <v>139</v>
      </c>
      <c r="F136" s="123">
        <v>0.39539999999999997</v>
      </c>
      <c r="G136" s="51">
        <v>8.24</v>
      </c>
      <c r="H136" s="51">
        <f>F136*G136</f>
        <v>3.2580959999999997</v>
      </c>
    </row>
    <row r="137" spans="1:8" x14ac:dyDescent="0.25">
      <c r="A137" s="59"/>
      <c r="B137" s="46" t="s">
        <v>656</v>
      </c>
      <c r="C137" s="126" t="s">
        <v>1111</v>
      </c>
      <c r="D137" s="69" t="s">
        <v>138</v>
      </c>
      <c r="E137" s="49" t="s">
        <v>139</v>
      </c>
      <c r="F137" s="73">
        <v>0.2848</v>
      </c>
      <c r="G137" s="51">
        <v>4.8600000000000003</v>
      </c>
      <c r="H137" s="51">
        <f>F137*G137</f>
        <v>1.384128</v>
      </c>
    </row>
    <row r="138" spans="1:8" x14ac:dyDescent="0.25">
      <c r="B138" s="47"/>
      <c r="C138" s="43" t="s">
        <v>155</v>
      </c>
      <c r="D138" s="61" t="s">
        <v>156</v>
      </c>
      <c r="E138" s="38" t="s">
        <v>139</v>
      </c>
      <c r="F138" s="121">
        <v>1.3</v>
      </c>
      <c r="G138" s="63"/>
      <c r="H138" s="63">
        <f>(SUM(H136:H137))*(1+F138)</f>
        <v>10.677115199999998</v>
      </c>
    </row>
    <row r="139" spans="1:8" x14ac:dyDescent="0.25">
      <c r="B139" s="46" t="s">
        <v>657</v>
      </c>
      <c r="C139" s="47" t="s">
        <v>1137</v>
      </c>
      <c r="D139" s="69" t="s">
        <v>173</v>
      </c>
      <c r="E139" s="49" t="s">
        <v>159</v>
      </c>
      <c r="F139" s="73">
        <v>3.3300000000000003E-2</v>
      </c>
      <c r="G139" s="51">
        <v>11.83</v>
      </c>
      <c r="H139" s="51">
        <f>F139*G139</f>
        <v>0.39393900000000004</v>
      </c>
    </row>
    <row r="140" spans="1:8" ht="45" x14ac:dyDescent="0.25">
      <c r="B140" s="46" t="s">
        <v>659</v>
      </c>
      <c r="C140" s="47" t="s">
        <v>1138</v>
      </c>
      <c r="D140" s="69" t="s">
        <v>117</v>
      </c>
      <c r="E140" s="49" t="s">
        <v>159</v>
      </c>
      <c r="F140" s="73">
        <v>2.8E-3</v>
      </c>
      <c r="G140" s="51">
        <v>1325.85</v>
      </c>
      <c r="H140" s="51">
        <f t="shared" ref="H140" si="10">F140*G140</f>
        <v>3.7123799999999996</v>
      </c>
    </row>
    <row r="141" spans="1:8" x14ac:dyDescent="0.25">
      <c r="B141" s="52" t="s">
        <v>130</v>
      </c>
      <c r="C141" s="192" t="s">
        <v>232</v>
      </c>
      <c r="D141" s="192"/>
      <c r="E141" s="192"/>
      <c r="F141" s="192"/>
      <c r="G141" s="192"/>
      <c r="H141" s="192"/>
    </row>
    <row r="144" spans="1:8" ht="15.75" x14ac:dyDescent="0.25">
      <c r="B144" s="214" t="s">
        <v>1222</v>
      </c>
      <c r="C144" s="214"/>
      <c r="D144" s="214"/>
      <c r="E144" s="214"/>
      <c r="F144" s="214"/>
      <c r="G144" s="214"/>
      <c r="H144" s="214"/>
    </row>
    <row r="145" spans="1:8" x14ac:dyDescent="0.25">
      <c r="B145" s="38" t="s">
        <v>121</v>
      </c>
      <c r="C145" s="39" t="s">
        <v>122</v>
      </c>
      <c r="D145" s="38" t="s">
        <v>123</v>
      </c>
      <c r="E145" s="38" t="s">
        <v>124</v>
      </c>
      <c r="F145" s="84" t="s">
        <v>125</v>
      </c>
      <c r="G145" s="40" t="s">
        <v>126</v>
      </c>
      <c r="H145" s="41" t="s">
        <v>127</v>
      </c>
    </row>
    <row r="146" spans="1:8" ht="30" x14ac:dyDescent="0.25">
      <c r="B146" s="42" t="s">
        <v>675</v>
      </c>
      <c r="C146" s="43" t="s">
        <v>1221</v>
      </c>
      <c r="D146" s="44" t="s">
        <v>117</v>
      </c>
      <c r="E146" s="38" t="s">
        <v>128</v>
      </c>
      <c r="F146" s="84"/>
      <c r="G146" s="40"/>
      <c r="H146" s="45">
        <f>SUM(H149:H151)</f>
        <v>13.646861599999999</v>
      </c>
    </row>
    <row r="147" spans="1:8" x14ac:dyDescent="0.25">
      <c r="B147" s="46" t="s">
        <v>655</v>
      </c>
      <c r="C147" s="47" t="s">
        <v>1136</v>
      </c>
      <c r="D147" s="68" t="s">
        <v>138</v>
      </c>
      <c r="E147" s="49" t="s">
        <v>139</v>
      </c>
      <c r="F147" s="123">
        <v>0.3533</v>
      </c>
      <c r="G147" s="51">
        <v>8.24</v>
      </c>
      <c r="H147" s="51">
        <f>F147*G147</f>
        <v>2.9111920000000002</v>
      </c>
    </row>
    <row r="148" spans="1:8" x14ac:dyDescent="0.25">
      <c r="A148" s="59"/>
      <c r="B148" s="46" t="s">
        <v>656</v>
      </c>
      <c r="C148" s="126" t="s">
        <v>1111</v>
      </c>
      <c r="D148" s="69" t="s">
        <v>138</v>
      </c>
      <c r="E148" s="49" t="s">
        <v>139</v>
      </c>
      <c r="F148" s="73">
        <v>0.2545</v>
      </c>
      <c r="G148" s="51">
        <v>4.8600000000000003</v>
      </c>
      <c r="H148" s="51">
        <f>F148*G148</f>
        <v>1.2368700000000001</v>
      </c>
    </row>
    <row r="149" spans="1:8" x14ac:dyDescent="0.25">
      <c r="B149" s="47"/>
      <c r="C149" s="43" t="s">
        <v>155</v>
      </c>
      <c r="D149" s="61" t="s">
        <v>156</v>
      </c>
      <c r="E149" s="38" t="s">
        <v>139</v>
      </c>
      <c r="F149" s="121">
        <v>1.3</v>
      </c>
      <c r="G149" s="63"/>
      <c r="H149" s="63">
        <f>(SUM(H147:H148))*(1+F149)</f>
        <v>9.5405426000000002</v>
      </c>
    </row>
    <row r="150" spans="1:8" ht="45" x14ac:dyDescent="0.25">
      <c r="B150" s="46" t="s">
        <v>659</v>
      </c>
      <c r="C150" s="47" t="s">
        <v>1138</v>
      </c>
      <c r="D150" s="69" t="s">
        <v>117</v>
      </c>
      <c r="E150" s="49" t="s">
        <v>159</v>
      </c>
      <c r="F150" s="73">
        <v>2.8E-3</v>
      </c>
      <c r="G150" s="51">
        <v>1325.85</v>
      </c>
      <c r="H150" s="51">
        <f t="shared" ref="H150:H151" si="11">F150*G150</f>
        <v>3.7123799999999996</v>
      </c>
    </row>
    <row r="151" spans="1:8" x14ac:dyDescent="0.25">
      <c r="B151" s="46" t="s">
        <v>657</v>
      </c>
      <c r="C151" s="47" t="s">
        <v>1137</v>
      </c>
      <c r="D151" s="69" t="s">
        <v>173</v>
      </c>
      <c r="E151" s="49" t="s">
        <v>159</v>
      </c>
      <c r="F151" s="73">
        <v>3.3300000000000003E-2</v>
      </c>
      <c r="G151" s="51">
        <v>11.83</v>
      </c>
      <c r="H151" s="51">
        <f t="shared" si="11"/>
        <v>0.39393900000000004</v>
      </c>
    </row>
    <row r="152" spans="1:8" x14ac:dyDescent="0.25">
      <c r="B152" s="52" t="s">
        <v>130</v>
      </c>
      <c r="C152" s="192" t="s">
        <v>232</v>
      </c>
      <c r="D152" s="192"/>
      <c r="E152" s="192"/>
      <c r="F152" s="192"/>
      <c r="G152" s="192"/>
      <c r="H152" s="192"/>
    </row>
    <row r="155" spans="1:8" ht="15.75" x14ac:dyDescent="0.25">
      <c r="B155" s="214" t="s">
        <v>1226</v>
      </c>
      <c r="C155" s="214"/>
      <c r="D155" s="214"/>
      <c r="E155" s="214"/>
      <c r="F155" s="214"/>
      <c r="G155" s="214"/>
      <c r="H155" s="214"/>
    </row>
    <row r="156" spans="1:8" x14ac:dyDescent="0.25">
      <c r="B156" s="38" t="s">
        <v>121</v>
      </c>
      <c r="C156" s="39" t="s">
        <v>122</v>
      </c>
      <c r="D156" s="38" t="s">
        <v>123</v>
      </c>
      <c r="E156" s="38" t="s">
        <v>124</v>
      </c>
      <c r="F156" s="84" t="s">
        <v>125</v>
      </c>
      <c r="G156" s="40" t="s">
        <v>126</v>
      </c>
      <c r="H156" s="41" t="s">
        <v>127</v>
      </c>
    </row>
    <row r="157" spans="1:8" ht="30" x14ac:dyDescent="0.25">
      <c r="B157" s="42" t="s">
        <v>1225</v>
      </c>
      <c r="C157" s="43" t="s">
        <v>1224</v>
      </c>
      <c r="D157" s="44" t="s">
        <v>117</v>
      </c>
      <c r="E157" s="38" t="s">
        <v>128</v>
      </c>
      <c r="F157" s="84"/>
      <c r="G157" s="40"/>
      <c r="H157" s="45">
        <f>SUM(H160:H162)</f>
        <v>12.574776399999999</v>
      </c>
    </row>
    <row r="158" spans="1:8" x14ac:dyDescent="0.25">
      <c r="B158" s="46" t="s">
        <v>655</v>
      </c>
      <c r="C158" s="47" t="s">
        <v>1136</v>
      </c>
      <c r="D158" s="68" t="s">
        <v>138</v>
      </c>
      <c r="E158" s="49" t="s">
        <v>139</v>
      </c>
      <c r="F158" s="123">
        <v>0.31359999999999999</v>
      </c>
      <c r="G158" s="51">
        <v>8.24</v>
      </c>
      <c r="H158" s="51">
        <f>F158*G158</f>
        <v>2.5840640000000001</v>
      </c>
    </row>
    <row r="159" spans="1:8" x14ac:dyDescent="0.25">
      <c r="A159" s="59"/>
      <c r="B159" s="46" t="s">
        <v>656</v>
      </c>
      <c r="C159" s="126" t="s">
        <v>1111</v>
      </c>
      <c r="D159" s="69" t="s">
        <v>138</v>
      </c>
      <c r="E159" s="49" t="s">
        <v>139</v>
      </c>
      <c r="F159" s="73">
        <v>0.22589999999999999</v>
      </c>
      <c r="G159" s="51">
        <v>4.8600000000000003</v>
      </c>
      <c r="H159" s="51">
        <f>F159*G159</f>
        <v>1.097874</v>
      </c>
    </row>
    <row r="160" spans="1:8" x14ac:dyDescent="0.25">
      <c r="B160" s="47"/>
      <c r="C160" s="43" t="s">
        <v>155</v>
      </c>
      <c r="D160" s="61" t="s">
        <v>156</v>
      </c>
      <c r="E160" s="38" t="s">
        <v>139</v>
      </c>
      <c r="F160" s="121">
        <v>1.3</v>
      </c>
      <c r="G160" s="63"/>
      <c r="H160" s="63">
        <f>(SUM(H158:H159))*(1+F160)</f>
        <v>8.4684574000000001</v>
      </c>
    </row>
    <row r="161" spans="1:8" ht="45" x14ac:dyDescent="0.25">
      <c r="B161" s="46" t="s">
        <v>972</v>
      </c>
      <c r="C161" s="47" t="s">
        <v>1138</v>
      </c>
      <c r="D161" s="69"/>
      <c r="E161" s="49" t="s">
        <v>159</v>
      </c>
      <c r="F161" s="73">
        <v>2.8E-3</v>
      </c>
      <c r="G161" s="51">
        <v>1325.85</v>
      </c>
      <c r="H161" s="51">
        <f t="shared" ref="H161:H162" si="12">F161*G161</f>
        <v>3.7123799999999996</v>
      </c>
    </row>
    <row r="162" spans="1:8" x14ac:dyDescent="0.25">
      <c r="B162" s="46" t="s">
        <v>657</v>
      </c>
      <c r="C162" s="47" t="s">
        <v>1137</v>
      </c>
      <c r="D162" s="69"/>
      <c r="E162" s="49" t="s">
        <v>159</v>
      </c>
      <c r="F162" s="73">
        <v>3.3300000000000003E-2</v>
      </c>
      <c r="G162" s="51">
        <v>11.83</v>
      </c>
      <c r="H162" s="51">
        <f t="shared" si="12"/>
        <v>0.39393900000000004</v>
      </c>
    </row>
    <row r="163" spans="1:8" x14ac:dyDescent="0.25">
      <c r="B163" s="52" t="s">
        <v>130</v>
      </c>
      <c r="C163" s="192" t="s">
        <v>232</v>
      </c>
      <c r="D163" s="192"/>
      <c r="E163" s="192"/>
      <c r="F163" s="192"/>
      <c r="G163" s="192"/>
      <c r="H163" s="192"/>
    </row>
    <row r="166" spans="1:8" ht="15.75" x14ac:dyDescent="0.25">
      <c r="B166" s="214" t="s">
        <v>1140</v>
      </c>
      <c r="C166" s="214"/>
      <c r="D166" s="214"/>
      <c r="E166" s="214"/>
      <c r="F166" s="214"/>
      <c r="G166" s="214"/>
      <c r="H166" s="214"/>
    </row>
    <row r="167" spans="1:8" x14ac:dyDescent="0.25">
      <c r="B167" s="38" t="s">
        <v>121</v>
      </c>
      <c r="C167" s="39" t="s">
        <v>122</v>
      </c>
      <c r="D167" s="38" t="s">
        <v>123</v>
      </c>
      <c r="E167" s="38" t="s">
        <v>124</v>
      </c>
      <c r="F167" s="84" t="s">
        <v>125</v>
      </c>
      <c r="G167" s="40" t="s">
        <v>126</v>
      </c>
      <c r="H167" s="41" t="s">
        <v>127</v>
      </c>
    </row>
    <row r="168" spans="1:8" ht="30" x14ac:dyDescent="0.25">
      <c r="B168" s="42" t="s">
        <v>677</v>
      </c>
      <c r="C168" s="43" t="s">
        <v>1139</v>
      </c>
      <c r="D168" s="44" t="s">
        <v>168</v>
      </c>
      <c r="E168" s="38" t="s">
        <v>128</v>
      </c>
      <c r="F168" s="84"/>
      <c r="G168" s="40"/>
      <c r="H168" s="45">
        <f>SUM(H171:H174)</f>
        <v>7.1882679999999999</v>
      </c>
    </row>
    <row r="169" spans="1:8" x14ac:dyDescent="0.25">
      <c r="B169" s="47" t="s">
        <v>1120</v>
      </c>
      <c r="C169" s="56" t="s">
        <v>1117</v>
      </c>
      <c r="D169" s="50" t="s">
        <v>138</v>
      </c>
      <c r="E169" s="49" t="s">
        <v>139</v>
      </c>
      <c r="F169" s="123">
        <v>6.0000000000000001E-3</v>
      </c>
      <c r="G169" s="51">
        <v>5.13</v>
      </c>
      <c r="H169" s="51">
        <f>F169*G169</f>
        <v>3.0779999999999998E-2</v>
      </c>
    </row>
    <row r="170" spans="1:8" x14ac:dyDescent="0.25">
      <c r="A170" s="59"/>
      <c r="B170" s="47" t="s">
        <v>235</v>
      </c>
      <c r="C170" s="119" t="s">
        <v>1118</v>
      </c>
      <c r="D170" s="69" t="s">
        <v>138</v>
      </c>
      <c r="E170" s="49" t="s">
        <v>139</v>
      </c>
      <c r="F170" s="73">
        <v>3.6999999999999998E-2</v>
      </c>
      <c r="G170" s="51">
        <v>8.24</v>
      </c>
      <c r="H170" s="51">
        <f>F170*G170</f>
        <v>0.30487999999999998</v>
      </c>
    </row>
    <row r="171" spans="1:8" x14ac:dyDescent="0.25">
      <c r="B171" s="47"/>
      <c r="C171" s="43" t="s">
        <v>155</v>
      </c>
      <c r="D171" s="61" t="s">
        <v>156</v>
      </c>
      <c r="E171" s="38" t="s">
        <v>139</v>
      </c>
      <c r="F171" s="121">
        <v>1.3</v>
      </c>
      <c r="G171" s="63"/>
      <c r="H171" s="63">
        <f>(SUM(H169:H170))*(1+F171)</f>
        <v>0.77201799999999987</v>
      </c>
    </row>
    <row r="172" spans="1:8" ht="30" x14ac:dyDescent="0.25">
      <c r="B172" s="46" t="s">
        <v>664</v>
      </c>
      <c r="C172" s="47" t="s">
        <v>1123</v>
      </c>
      <c r="D172" s="69" t="s">
        <v>123</v>
      </c>
      <c r="E172" s="49" t="s">
        <v>159</v>
      </c>
      <c r="F172" s="73">
        <v>0.998</v>
      </c>
      <c r="G172" s="51">
        <v>0.18</v>
      </c>
      <c r="H172" s="51">
        <f t="shared" ref="H172:H174" si="13">F172*G172</f>
        <v>0.17963999999999999</v>
      </c>
    </row>
    <row r="173" spans="1:8" ht="30" x14ac:dyDescent="0.25">
      <c r="B173" s="46" t="s">
        <v>682</v>
      </c>
      <c r="C173" s="47" t="s">
        <v>1141</v>
      </c>
      <c r="D173" s="69" t="s">
        <v>117</v>
      </c>
      <c r="E173" s="49" t="s">
        <v>159</v>
      </c>
      <c r="F173" s="73">
        <v>0.47899999999999998</v>
      </c>
      <c r="G173" s="51">
        <v>12.75</v>
      </c>
      <c r="H173" s="51">
        <f t="shared" si="13"/>
        <v>6.1072499999999996</v>
      </c>
    </row>
    <row r="174" spans="1:8" x14ac:dyDescent="0.25">
      <c r="B174" s="46" t="s">
        <v>1142</v>
      </c>
      <c r="C174" s="47" t="s">
        <v>1125</v>
      </c>
      <c r="D174" s="69" t="s">
        <v>168</v>
      </c>
      <c r="E174" s="49" t="s">
        <v>159</v>
      </c>
      <c r="F174" s="73">
        <v>1.0500000000000001E-2</v>
      </c>
      <c r="G174" s="51">
        <v>12.32</v>
      </c>
      <c r="H174" s="51">
        <f t="shared" si="13"/>
        <v>0.12936</v>
      </c>
    </row>
    <row r="175" spans="1:8" x14ac:dyDescent="0.25">
      <c r="B175" s="52" t="s">
        <v>130</v>
      </c>
      <c r="C175" s="192" t="s">
        <v>232</v>
      </c>
      <c r="D175" s="192"/>
      <c r="E175" s="192"/>
      <c r="F175" s="192"/>
      <c r="G175" s="192"/>
      <c r="H175" s="192"/>
    </row>
    <row r="178" spans="2:8" ht="15.75" x14ac:dyDescent="0.25">
      <c r="B178" s="215" t="s">
        <v>1181</v>
      </c>
      <c r="C178" s="216"/>
      <c r="D178" s="216"/>
      <c r="E178" s="216"/>
      <c r="F178" s="216"/>
      <c r="G178" s="216"/>
      <c r="H178" s="217"/>
    </row>
    <row r="179" spans="2:8" x14ac:dyDescent="0.25">
      <c r="B179" s="38" t="s">
        <v>121</v>
      </c>
      <c r="C179" s="39" t="s">
        <v>122</v>
      </c>
      <c r="D179" s="38" t="s">
        <v>123</v>
      </c>
      <c r="E179" s="38" t="s">
        <v>124</v>
      </c>
      <c r="F179" s="84" t="s">
        <v>125</v>
      </c>
      <c r="G179" s="40" t="s">
        <v>126</v>
      </c>
      <c r="H179" s="41" t="s">
        <v>127</v>
      </c>
    </row>
    <row r="180" spans="2:8" ht="45" x14ac:dyDescent="0.25">
      <c r="B180" s="42" t="s">
        <v>665</v>
      </c>
      <c r="C180" s="43" t="s">
        <v>1146</v>
      </c>
      <c r="D180" s="44" t="s">
        <v>135</v>
      </c>
      <c r="E180" s="38" t="s">
        <v>128</v>
      </c>
      <c r="F180" s="84"/>
      <c r="G180" s="40"/>
      <c r="H180" s="45">
        <f>SUM(H184:H187)</f>
        <v>408.93649400000004</v>
      </c>
    </row>
    <row r="181" spans="2:8" x14ac:dyDescent="0.25">
      <c r="B181" s="46" t="s">
        <v>655</v>
      </c>
      <c r="C181" s="47" t="s">
        <v>1147</v>
      </c>
      <c r="D181" s="72" t="s">
        <v>138</v>
      </c>
      <c r="E181" s="49" t="s">
        <v>139</v>
      </c>
      <c r="F181" s="123">
        <v>0.16300000000000001</v>
      </c>
      <c r="G181" s="51">
        <v>8.24</v>
      </c>
      <c r="H181" s="51">
        <f>F181*G181</f>
        <v>1.3431200000000001</v>
      </c>
    </row>
    <row r="182" spans="2:8" x14ac:dyDescent="0.25">
      <c r="B182" s="46" t="s">
        <v>666</v>
      </c>
      <c r="C182" s="47" t="s">
        <v>1148</v>
      </c>
      <c r="D182" s="69" t="s">
        <v>138</v>
      </c>
      <c r="E182" s="49" t="s">
        <v>139</v>
      </c>
      <c r="F182" s="73">
        <v>0.65300000000000002</v>
      </c>
      <c r="G182" s="51">
        <v>8.24</v>
      </c>
      <c r="H182" s="51">
        <f>F182*G182</f>
        <v>5.3807200000000002</v>
      </c>
    </row>
    <row r="183" spans="2:8" x14ac:dyDescent="0.25">
      <c r="B183" s="46" t="s">
        <v>656</v>
      </c>
      <c r="C183" s="47" t="s">
        <v>1111</v>
      </c>
      <c r="D183" s="69" t="s">
        <v>138</v>
      </c>
      <c r="E183" s="49" t="s">
        <v>139</v>
      </c>
      <c r="F183" s="73">
        <v>0.73399999999999999</v>
      </c>
      <c r="G183" s="51">
        <v>4.8600000000000003</v>
      </c>
      <c r="H183" s="51">
        <f t="shared" ref="H183:H187" si="14">F183*G183</f>
        <v>3.56724</v>
      </c>
    </row>
    <row r="184" spans="2:8" x14ac:dyDescent="0.25">
      <c r="B184" s="46"/>
      <c r="C184" s="43" t="s">
        <v>155</v>
      </c>
      <c r="D184" s="61" t="s">
        <v>156</v>
      </c>
      <c r="E184" s="38" t="s">
        <v>139</v>
      </c>
      <c r="F184" s="121">
        <v>1.3</v>
      </c>
      <c r="G184" s="63"/>
      <c r="H184" s="63">
        <f>(SUM(H181:H183))*(1+F184)</f>
        <v>23.669484000000001</v>
      </c>
    </row>
    <row r="185" spans="2:8" ht="30" x14ac:dyDescent="0.25">
      <c r="B185" s="46" t="s">
        <v>667</v>
      </c>
      <c r="C185" s="47" t="s">
        <v>1150</v>
      </c>
      <c r="D185" s="69" t="s">
        <v>135</v>
      </c>
      <c r="E185" s="49" t="s">
        <v>159</v>
      </c>
      <c r="F185" s="73">
        <v>1.0900000000000001</v>
      </c>
      <c r="G185" s="51">
        <v>352.39</v>
      </c>
      <c r="H185" s="51">
        <f t="shared" si="14"/>
        <v>384.10509999999999</v>
      </c>
    </row>
    <row r="186" spans="2:8" x14ac:dyDescent="0.25">
      <c r="B186" s="46" t="s">
        <v>669</v>
      </c>
      <c r="C186" s="47" t="s">
        <v>1149</v>
      </c>
      <c r="D186" s="72" t="s">
        <v>249</v>
      </c>
      <c r="E186" s="49" t="s">
        <v>129</v>
      </c>
      <c r="F186" s="73">
        <v>0.06</v>
      </c>
      <c r="G186" s="57">
        <v>16.670000000000002</v>
      </c>
      <c r="H186" s="51">
        <f t="shared" si="14"/>
        <v>1.0002</v>
      </c>
    </row>
    <row r="187" spans="2:8" ht="30" x14ac:dyDescent="0.25">
      <c r="B187" s="46" t="s">
        <v>671</v>
      </c>
      <c r="C187" s="47" t="s">
        <v>1151</v>
      </c>
      <c r="D187" s="72" t="s">
        <v>250</v>
      </c>
      <c r="E187" s="49" t="s">
        <v>129</v>
      </c>
      <c r="F187" s="73">
        <v>0.10299999999999999</v>
      </c>
      <c r="G187" s="57">
        <v>1.57</v>
      </c>
      <c r="H187" s="51">
        <f t="shared" si="14"/>
        <v>0.16170999999999999</v>
      </c>
    </row>
    <row r="188" spans="2:8" x14ac:dyDescent="0.25">
      <c r="B188" s="52" t="s">
        <v>130</v>
      </c>
      <c r="C188" s="192" t="s">
        <v>232</v>
      </c>
      <c r="D188" s="192"/>
      <c r="E188" s="192"/>
      <c r="F188" s="192"/>
      <c r="G188" s="192"/>
      <c r="H188" s="192"/>
    </row>
    <row r="191" spans="2:8" ht="15.75" x14ac:dyDescent="0.25">
      <c r="B191" s="203" t="s">
        <v>259</v>
      </c>
      <c r="C191" s="203"/>
      <c r="D191" s="203"/>
      <c r="E191" s="203"/>
      <c r="F191" s="203"/>
      <c r="G191" s="203"/>
      <c r="H191" s="203"/>
    </row>
    <row r="192" spans="2:8" x14ac:dyDescent="0.25">
      <c r="B192" s="38" t="s">
        <v>121</v>
      </c>
      <c r="C192" s="39" t="s">
        <v>122</v>
      </c>
      <c r="D192" s="38" t="s">
        <v>123</v>
      </c>
      <c r="E192" s="38" t="s">
        <v>124</v>
      </c>
      <c r="F192" s="84" t="s">
        <v>125</v>
      </c>
      <c r="G192" s="40" t="s">
        <v>126</v>
      </c>
      <c r="H192" s="41" t="s">
        <v>127</v>
      </c>
    </row>
    <row r="193" spans="2:8" x14ac:dyDescent="0.25">
      <c r="B193" s="42"/>
      <c r="C193" s="43"/>
      <c r="D193" s="44"/>
      <c r="E193" s="38"/>
      <c r="F193" s="84"/>
      <c r="G193" s="40"/>
      <c r="H193" s="45">
        <f>SUM(H194:H196)</f>
        <v>0</v>
      </c>
    </row>
    <row r="194" spans="2:8" x14ac:dyDescent="0.25">
      <c r="B194" s="53"/>
      <c r="C194" s="47"/>
      <c r="D194" s="49"/>
      <c r="E194" s="49"/>
      <c r="F194" s="73"/>
      <c r="G194" s="40"/>
      <c r="H194" s="51">
        <f t="shared" ref="H194:H195" si="15">F194*G194</f>
        <v>0</v>
      </c>
    </row>
    <row r="195" spans="2:8" ht="33" customHeight="1" x14ac:dyDescent="0.25">
      <c r="B195" s="53"/>
      <c r="C195" s="47"/>
      <c r="D195" s="49"/>
      <c r="E195" s="49"/>
      <c r="F195" s="73"/>
      <c r="G195" s="40"/>
      <c r="H195" s="51">
        <f t="shared" si="15"/>
        <v>0</v>
      </c>
    </row>
    <row r="196" spans="2:8" x14ac:dyDescent="0.25">
      <c r="B196" s="53"/>
      <c r="C196" s="65"/>
      <c r="D196" s="49"/>
      <c r="E196" s="49"/>
      <c r="F196" s="73"/>
      <c r="G196" s="54"/>
      <c r="H196" s="51">
        <f>F196*G196</f>
        <v>0</v>
      </c>
    </row>
    <row r="197" spans="2:8" x14ac:dyDescent="0.25">
      <c r="B197" s="52" t="s">
        <v>130</v>
      </c>
      <c r="C197" s="192"/>
      <c r="D197" s="192"/>
      <c r="E197" s="192"/>
      <c r="F197" s="192"/>
      <c r="G197" s="192"/>
      <c r="H197" s="192"/>
    </row>
    <row r="200" spans="2:8" ht="15.75" x14ac:dyDescent="0.25">
      <c r="B200" s="214" t="s">
        <v>1144</v>
      </c>
      <c r="C200" s="214"/>
      <c r="D200" s="214"/>
      <c r="E200" s="214"/>
      <c r="F200" s="214"/>
      <c r="G200" s="214"/>
      <c r="H200" s="214"/>
    </row>
    <row r="201" spans="2:8" x14ac:dyDescent="0.25">
      <c r="B201" s="38" t="s">
        <v>121</v>
      </c>
      <c r="C201" s="39" t="s">
        <v>122</v>
      </c>
      <c r="D201" s="38" t="s">
        <v>123</v>
      </c>
      <c r="E201" s="38" t="s">
        <v>124</v>
      </c>
      <c r="F201" s="84" t="s">
        <v>125</v>
      </c>
      <c r="G201" s="40" t="s">
        <v>126</v>
      </c>
      <c r="H201" s="41" t="s">
        <v>127</v>
      </c>
    </row>
    <row r="202" spans="2:8" ht="30" x14ac:dyDescent="0.25">
      <c r="B202" s="46" t="s">
        <v>261</v>
      </c>
      <c r="C202" s="43" t="s">
        <v>1143</v>
      </c>
      <c r="D202" s="44" t="s">
        <v>117</v>
      </c>
      <c r="E202" s="38" t="s">
        <v>128</v>
      </c>
      <c r="F202" s="84"/>
      <c r="G202" s="40"/>
      <c r="H202" s="45">
        <f>SUM(H205:H207)</f>
        <v>10.957779799999997</v>
      </c>
    </row>
    <row r="203" spans="2:8" x14ac:dyDescent="0.25">
      <c r="B203" s="46" t="s">
        <v>655</v>
      </c>
      <c r="C203" s="47" t="s">
        <v>1136</v>
      </c>
      <c r="D203" s="68" t="s">
        <v>138</v>
      </c>
      <c r="E203" s="49" t="s">
        <v>139</v>
      </c>
      <c r="F203" s="123">
        <v>0.25369999999999998</v>
      </c>
      <c r="G203" s="51">
        <v>8.24</v>
      </c>
      <c r="H203" s="51">
        <f>F203*G203</f>
        <v>2.0904879999999997</v>
      </c>
    </row>
    <row r="204" spans="2:8" x14ac:dyDescent="0.25">
      <c r="B204" s="46" t="s">
        <v>656</v>
      </c>
      <c r="C204" s="126" t="s">
        <v>1111</v>
      </c>
      <c r="D204" s="69" t="s">
        <v>138</v>
      </c>
      <c r="E204" s="49" t="s">
        <v>139</v>
      </c>
      <c r="F204" s="73">
        <v>0.18279999999999999</v>
      </c>
      <c r="G204" s="51">
        <v>4.8600000000000003</v>
      </c>
      <c r="H204" s="51">
        <f>F204*G204</f>
        <v>0.88840799999999998</v>
      </c>
    </row>
    <row r="205" spans="2:8" x14ac:dyDescent="0.25">
      <c r="B205" s="46"/>
      <c r="C205" s="43" t="s">
        <v>155</v>
      </c>
      <c r="D205" s="61" t="s">
        <v>156</v>
      </c>
      <c r="E205" s="38" t="s">
        <v>139</v>
      </c>
      <c r="F205" s="121">
        <v>1.3</v>
      </c>
      <c r="G205" s="63"/>
      <c r="H205" s="63">
        <f>(SUM(H203:H204))*(1+F205)</f>
        <v>6.851460799999999</v>
      </c>
    </row>
    <row r="206" spans="2:8" ht="45" x14ac:dyDescent="0.25">
      <c r="B206" s="46" t="s">
        <v>659</v>
      </c>
      <c r="C206" s="47" t="s">
        <v>1138</v>
      </c>
      <c r="D206" s="69" t="s">
        <v>117</v>
      </c>
      <c r="E206" s="49" t="s">
        <v>159</v>
      </c>
      <c r="F206" s="73">
        <v>2.8E-3</v>
      </c>
      <c r="G206" s="51">
        <v>1325.85</v>
      </c>
      <c r="H206" s="51">
        <f t="shared" ref="H206:H207" si="16">F206*G206</f>
        <v>3.7123799999999996</v>
      </c>
    </row>
    <row r="207" spans="2:8" x14ac:dyDescent="0.25">
      <c r="B207" s="46" t="s">
        <v>657</v>
      </c>
      <c r="C207" s="47" t="s">
        <v>1137</v>
      </c>
      <c r="D207" s="69" t="s">
        <v>173</v>
      </c>
      <c r="E207" s="49" t="s">
        <v>159</v>
      </c>
      <c r="F207" s="73">
        <v>3.3300000000000003E-2</v>
      </c>
      <c r="G207" s="51">
        <v>11.83</v>
      </c>
      <c r="H207" s="51">
        <f t="shared" si="16"/>
        <v>0.39393900000000004</v>
      </c>
    </row>
    <row r="208" spans="2:8" x14ac:dyDescent="0.25">
      <c r="B208" s="52" t="s">
        <v>130</v>
      </c>
      <c r="C208" s="192" t="s">
        <v>232</v>
      </c>
      <c r="D208" s="192"/>
      <c r="E208" s="192"/>
      <c r="F208" s="192"/>
      <c r="G208" s="192"/>
      <c r="H208" s="192"/>
    </row>
    <row r="211" spans="2:8" ht="15.75" x14ac:dyDescent="0.25">
      <c r="B211" s="214" t="s">
        <v>1145</v>
      </c>
      <c r="C211" s="214"/>
      <c r="D211" s="214"/>
      <c r="E211" s="214"/>
      <c r="F211" s="214"/>
      <c r="G211" s="214"/>
      <c r="H211" s="214"/>
    </row>
    <row r="212" spans="2:8" x14ac:dyDescent="0.25">
      <c r="B212" s="38" t="s">
        <v>121</v>
      </c>
      <c r="C212" s="39" t="s">
        <v>122</v>
      </c>
      <c r="D212" s="38" t="s">
        <v>123</v>
      </c>
      <c r="E212" s="38" t="s">
        <v>124</v>
      </c>
      <c r="F212" s="84" t="s">
        <v>125</v>
      </c>
      <c r="G212" s="40" t="s">
        <v>126</v>
      </c>
      <c r="H212" s="41" t="s">
        <v>127</v>
      </c>
    </row>
    <row r="213" spans="2:8" ht="30" x14ac:dyDescent="0.25">
      <c r="B213" s="42" t="s">
        <v>687</v>
      </c>
      <c r="C213" s="43" t="s">
        <v>1115</v>
      </c>
      <c r="D213" s="44" t="s">
        <v>168</v>
      </c>
      <c r="E213" s="38" t="s">
        <v>128</v>
      </c>
      <c r="F213" s="84"/>
      <c r="G213" s="40"/>
      <c r="H213" s="45">
        <f>SUM(H216:H219)</f>
        <v>7.2756420000000004</v>
      </c>
    </row>
    <row r="214" spans="2:8" x14ac:dyDescent="0.25">
      <c r="B214" s="47" t="s">
        <v>1120</v>
      </c>
      <c r="C214" s="56" t="s">
        <v>1117</v>
      </c>
      <c r="D214" s="68" t="s">
        <v>138</v>
      </c>
      <c r="E214" s="49" t="s">
        <v>139</v>
      </c>
      <c r="F214" s="123">
        <v>6.0000000000000001E-3</v>
      </c>
      <c r="G214" s="51">
        <v>5.13</v>
      </c>
      <c r="H214" s="51">
        <f>F214*G214</f>
        <v>3.0779999999999998E-2</v>
      </c>
    </row>
    <row r="215" spans="2:8" x14ac:dyDescent="0.25">
      <c r="B215" s="47" t="s">
        <v>235</v>
      </c>
      <c r="C215" s="119" t="s">
        <v>1118</v>
      </c>
      <c r="D215" s="69" t="s">
        <v>138</v>
      </c>
      <c r="E215" s="49" t="s">
        <v>139</v>
      </c>
      <c r="F215" s="73">
        <v>3.9E-2</v>
      </c>
      <c r="G215" s="51">
        <v>8.24</v>
      </c>
      <c r="H215" s="51">
        <f>F215*G215</f>
        <v>0.32136000000000003</v>
      </c>
    </row>
    <row r="216" spans="2:8" x14ac:dyDescent="0.25">
      <c r="B216" s="46"/>
      <c r="C216" s="43" t="s">
        <v>155</v>
      </c>
      <c r="D216" s="61" t="s">
        <v>156</v>
      </c>
      <c r="E216" s="38" t="s">
        <v>139</v>
      </c>
      <c r="F216" s="121">
        <v>1.3</v>
      </c>
      <c r="G216" s="63"/>
      <c r="H216" s="63">
        <f>(SUM(H214:H215))*(1+F216)</f>
        <v>0.80992199999999992</v>
      </c>
    </row>
    <row r="217" spans="2:8" ht="30" x14ac:dyDescent="0.25">
      <c r="B217" s="46" t="s">
        <v>689</v>
      </c>
      <c r="C217" s="47" t="s">
        <v>1121</v>
      </c>
      <c r="D217" s="69" t="s">
        <v>117</v>
      </c>
      <c r="E217" s="49" t="s">
        <v>159</v>
      </c>
      <c r="F217" s="73">
        <v>0.71199999999999997</v>
      </c>
      <c r="G217" s="51">
        <v>8.5500000000000007</v>
      </c>
      <c r="H217" s="51">
        <f t="shared" ref="H217:H219" si="17">F217*G217</f>
        <v>6.0876000000000001</v>
      </c>
    </row>
    <row r="218" spans="2:8" ht="30" x14ac:dyDescent="0.25">
      <c r="B218" s="46" t="s">
        <v>664</v>
      </c>
      <c r="C218" s="47" t="s">
        <v>1123</v>
      </c>
      <c r="D218" s="69" t="s">
        <v>123</v>
      </c>
      <c r="E218" s="49" t="s">
        <v>159</v>
      </c>
      <c r="F218" s="73">
        <v>1.3819999999999999</v>
      </c>
      <c r="G218" s="51">
        <v>0.18</v>
      </c>
      <c r="H218" s="51">
        <f t="shared" si="17"/>
        <v>0.24875999999999998</v>
      </c>
    </row>
    <row r="219" spans="2:8" x14ac:dyDescent="0.25">
      <c r="B219" s="46" t="s">
        <v>684</v>
      </c>
      <c r="C219" s="47" t="s">
        <v>1125</v>
      </c>
      <c r="D219" s="69" t="s">
        <v>168</v>
      </c>
      <c r="E219" s="49" t="s">
        <v>159</v>
      </c>
      <c r="F219" s="73">
        <v>1.0500000000000001E-2</v>
      </c>
      <c r="G219" s="51">
        <v>12.32</v>
      </c>
      <c r="H219" s="51">
        <f t="shared" si="17"/>
        <v>0.12936</v>
      </c>
    </row>
    <row r="220" spans="2:8" x14ac:dyDescent="0.25">
      <c r="B220" s="52" t="s">
        <v>130</v>
      </c>
      <c r="C220" s="192" t="s">
        <v>232</v>
      </c>
      <c r="D220" s="192"/>
      <c r="E220" s="192"/>
      <c r="F220" s="192"/>
      <c r="G220" s="192"/>
      <c r="H220" s="192"/>
    </row>
    <row r="223" spans="2:8" ht="15.75" x14ac:dyDescent="0.25">
      <c r="B223" s="215" t="s">
        <v>1180</v>
      </c>
      <c r="C223" s="216"/>
      <c r="D223" s="216"/>
      <c r="E223" s="216"/>
      <c r="F223" s="216"/>
      <c r="G223" s="216"/>
      <c r="H223" s="217"/>
    </row>
    <row r="224" spans="2:8" x14ac:dyDescent="0.25">
      <c r="B224" s="38" t="s">
        <v>121</v>
      </c>
      <c r="C224" s="39" t="s">
        <v>122</v>
      </c>
      <c r="D224" s="38" t="s">
        <v>123</v>
      </c>
      <c r="E224" s="38" t="s">
        <v>124</v>
      </c>
      <c r="F224" s="84" t="s">
        <v>125</v>
      </c>
      <c r="G224" s="40" t="s">
        <v>126</v>
      </c>
      <c r="H224" s="41" t="s">
        <v>127</v>
      </c>
    </row>
    <row r="225" spans="2:8" ht="45" x14ac:dyDescent="0.25">
      <c r="B225" s="42" t="s">
        <v>665</v>
      </c>
      <c r="C225" s="43" t="s">
        <v>1146</v>
      </c>
      <c r="D225" s="44" t="s">
        <v>135</v>
      </c>
      <c r="E225" s="38" t="s">
        <v>128</v>
      </c>
      <c r="F225" s="84"/>
      <c r="G225" s="40"/>
      <c r="H225" s="45">
        <f>SUM(H229:H232)</f>
        <v>408.93649400000004</v>
      </c>
    </row>
    <row r="226" spans="2:8" x14ac:dyDescent="0.25">
      <c r="B226" s="46" t="s">
        <v>655</v>
      </c>
      <c r="C226" s="47" t="s">
        <v>1147</v>
      </c>
      <c r="D226" s="72" t="s">
        <v>138</v>
      </c>
      <c r="E226" s="49" t="s">
        <v>139</v>
      </c>
      <c r="F226" s="123">
        <v>0.16300000000000001</v>
      </c>
      <c r="G226" s="51">
        <v>8.24</v>
      </c>
      <c r="H226" s="51">
        <f>F226*G226</f>
        <v>1.3431200000000001</v>
      </c>
    </row>
    <row r="227" spans="2:8" x14ac:dyDescent="0.25">
      <c r="B227" s="46" t="s">
        <v>666</v>
      </c>
      <c r="C227" s="47" t="s">
        <v>1148</v>
      </c>
      <c r="D227" s="69" t="s">
        <v>138</v>
      </c>
      <c r="E227" s="49" t="s">
        <v>139</v>
      </c>
      <c r="F227" s="73">
        <v>0.65300000000000002</v>
      </c>
      <c r="G227" s="51">
        <v>8.24</v>
      </c>
      <c r="H227" s="51">
        <f>F227*G227</f>
        <v>5.3807200000000002</v>
      </c>
    </row>
    <row r="228" spans="2:8" x14ac:dyDescent="0.25">
      <c r="B228" s="46" t="s">
        <v>656</v>
      </c>
      <c r="C228" s="47" t="s">
        <v>1111</v>
      </c>
      <c r="D228" s="69" t="s">
        <v>138</v>
      </c>
      <c r="E228" s="49" t="s">
        <v>139</v>
      </c>
      <c r="F228" s="73">
        <v>0.73399999999999999</v>
      </c>
      <c r="G228" s="51">
        <v>4.8600000000000003</v>
      </c>
      <c r="H228" s="51">
        <f t="shared" ref="H228:H232" si="18">F228*G228</f>
        <v>3.56724</v>
      </c>
    </row>
    <row r="229" spans="2:8" x14ac:dyDescent="0.25">
      <c r="B229" s="46"/>
      <c r="C229" s="43" t="s">
        <v>155</v>
      </c>
      <c r="D229" s="61" t="s">
        <v>156</v>
      </c>
      <c r="E229" s="38" t="s">
        <v>139</v>
      </c>
      <c r="F229" s="121">
        <v>1.3</v>
      </c>
      <c r="G229" s="63"/>
      <c r="H229" s="63">
        <f>(SUM(H226:H228))*(1+F229)</f>
        <v>23.669484000000001</v>
      </c>
    </row>
    <row r="230" spans="2:8" ht="30" x14ac:dyDescent="0.25">
      <c r="B230" s="46" t="s">
        <v>667</v>
      </c>
      <c r="C230" s="47" t="s">
        <v>1150</v>
      </c>
      <c r="D230" s="69" t="s">
        <v>135</v>
      </c>
      <c r="E230" s="49" t="s">
        <v>159</v>
      </c>
      <c r="F230" s="73">
        <v>1.0900000000000001</v>
      </c>
      <c r="G230" s="51">
        <v>352.39</v>
      </c>
      <c r="H230" s="51">
        <f t="shared" si="18"/>
        <v>384.10509999999999</v>
      </c>
    </row>
    <row r="231" spans="2:8" x14ac:dyDescent="0.25">
      <c r="B231" s="46" t="s">
        <v>669</v>
      </c>
      <c r="C231" s="47" t="s">
        <v>1149</v>
      </c>
      <c r="D231" s="72" t="s">
        <v>249</v>
      </c>
      <c r="E231" s="49" t="s">
        <v>129</v>
      </c>
      <c r="F231" s="73">
        <v>0.06</v>
      </c>
      <c r="G231" s="57">
        <v>16.670000000000002</v>
      </c>
      <c r="H231" s="51">
        <f t="shared" si="18"/>
        <v>1.0002</v>
      </c>
    </row>
    <row r="232" spans="2:8" ht="30" x14ac:dyDescent="0.25">
      <c r="B232" s="46" t="s">
        <v>671</v>
      </c>
      <c r="C232" s="47" t="s">
        <v>1151</v>
      </c>
      <c r="D232" s="72" t="s">
        <v>250</v>
      </c>
      <c r="E232" s="49" t="s">
        <v>129</v>
      </c>
      <c r="F232" s="73">
        <v>0.10299999999999999</v>
      </c>
      <c r="G232" s="57">
        <v>1.57</v>
      </c>
      <c r="H232" s="51">
        <f t="shared" si="18"/>
        <v>0.16170999999999999</v>
      </c>
    </row>
    <row r="233" spans="2:8" x14ac:dyDescent="0.25">
      <c r="B233" s="52" t="s">
        <v>130</v>
      </c>
      <c r="C233" s="192" t="s">
        <v>232</v>
      </c>
      <c r="D233" s="192"/>
      <c r="E233" s="192"/>
      <c r="F233" s="192"/>
      <c r="G233" s="192"/>
      <c r="H233" s="192"/>
    </row>
    <row r="236" spans="2:8" ht="15.75" x14ac:dyDescent="0.25">
      <c r="B236" s="203" t="s">
        <v>264</v>
      </c>
      <c r="C236" s="203"/>
      <c r="D236" s="203"/>
      <c r="E236" s="203"/>
      <c r="F236" s="203"/>
      <c r="G236" s="203"/>
      <c r="H236" s="203"/>
    </row>
    <row r="237" spans="2:8" x14ac:dyDescent="0.25">
      <c r="B237" s="38" t="s">
        <v>121</v>
      </c>
      <c r="C237" s="39" t="s">
        <v>122</v>
      </c>
      <c r="D237" s="38" t="s">
        <v>123</v>
      </c>
      <c r="E237" s="38" t="s">
        <v>124</v>
      </c>
      <c r="F237" s="84" t="s">
        <v>125</v>
      </c>
      <c r="G237" s="40" t="s">
        <v>126</v>
      </c>
      <c r="H237" s="41" t="s">
        <v>127</v>
      </c>
    </row>
    <row r="238" spans="2:8" ht="48.75" customHeight="1" x14ac:dyDescent="0.25">
      <c r="B238" s="42" t="s">
        <v>691</v>
      </c>
      <c r="C238" s="43" t="s">
        <v>692</v>
      </c>
      <c r="D238" s="44" t="s">
        <v>123</v>
      </c>
      <c r="E238" s="38" t="s">
        <v>128</v>
      </c>
      <c r="F238" s="84"/>
      <c r="G238" s="40"/>
      <c r="H238" s="45">
        <f>SUM(H239:H241)</f>
        <v>0</v>
      </c>
    </row>
    <row r="239" spans="2:8" x14ac:dyDescent="0.25">
      <c r="B239" s="53"/>
      <c r="C239" s="47"/>
      <c r="D239" s="49"/>
      <c r="E239" s="49"/>
      <c r="F239" s="73"/>
      <c r="G239" s="40"/>
      <c r="H239" s="51">
        <f t="shared" ref="H239:H240" si="19">F239*G239</f>
        <v>0</v>
      </c>
    </row>
    <row r="240" spans="2:8" ht="33" customHeight="1" x14ac:dyDescent="0.25">
      <c r="B240" s="53"/>
      <c r="C240" s="47"/>
      <c r="D240" s="49"/>
      <c r="E240" s="49"/>
      <c r="F240" s="73"/>
      <c r="G240" s="40"/>
      <c r="H240" s="51">
        <f t="shared" si="19"/>
        <v>0</v>
      </c>
    </row>
    <row r="241" spans="2:8" x14ac:dyDescent="0.25">
      <c r="B241" s="53"/>
      <c r="C241" s="65"/>
      <c r="D241" s="49"/>
      <c r="E241" s="49"/>
      <c r="F241" s="73"/>
      <c r="G241" s="54"/>
      <c r="H241" s="51">
        <f>F241*G241</f>
        <v>0</v>
      </c>
    </row>
    <row r="242" spans="2:8" x14ac:dyDescent="0.25">
      <c r="B242" s="52" t="s">
        <v>130</v>
      </c>
      <c r="C242" s="192"/>
      <c r="D242" s="192"/>
      <c r="E242" s="192"/>
      <c r="F242" s="192"/>
      <c r="G242" s="192"/>
      <c r="H242" s="192"/>
    </row>
    <row r="245" spans="2:8" ht="15.75" x14ac:dyDescent="0.25">
      <c r="B245" s="215" t="s">
        <v>266</v>
      </c>
      <c r="C245" s="216"/>
      <c r="D245" s="216"/>
      <c r="E245" s="216"/>
      <c r="F245" s="216"/>
      <c r="G245" s="216"/>
      <c r="H245" s="217"/>
    </row>
    <row r="246" spans="2:8" x14ac:dyDescent="0.25">
      <c r="B246" s="38" t="s">
        <v>121</v>
      </c>
      <c r="C246" s="39" t="s">
        <v>122</v>
      </c>
      <c r="D246" s="38" t="s">
        <v>123</v>
      </c>
      <c r="E246" s="38" t="s">
        <v>124</v>
      </c>
      <c r="F246" s="84" t="s">
        <v>125</v>
      </c>
      <c r="G246" s="40" t="s">
        <v>126</v>
      </c>
      <c r="H246" s="41" t="s">
        <v>127</v>
      </c>
    </row>
    <row r="247" spans="2:8" x14ac:dyDescent="0.25">
      <c r="B247" s="42"/>
      <c r="C247" s="43"/>
      <c r="D247" s="44"/>
      <c r="E247" s="38" t="s">
        <v>128</v>
      </c>
      <c r="F247" s="84"/>
      <c r="G247" s="40"/>
      <c r="H247" s="45">
        <f>SUM(H248:H251)</f>
        <v>0</v>
      </c>
    </row>
    <row r="248" spans="2:8" x14ac:dyDescent="0.25">
      <c r="B248" s="46"/>
      <c r="C248" s="47"/>
      <c r="E248" s="49"/>
      <c r="F248" s="123">
        <v>0.9</v>
      </c>
      <c r="G248" s="51"/>
      <c r="H248" s="51">
        <f>F248*G248</f>
        <v>0</v>
      </c>
    </row>
    <row r="249" spans="2:8" x14ac:dyDescent="0.25">
      <c r="B249" s="46"/>
      <c r="C249" s="47"/>
      <c r="D249" s="69"/>
      <c r="E249" s="49"/>
      <c r="F249" s="71"/>
      <c r="G249" s="51"/>
      <c r="H249" s="51">
        <f>F249*G249</f>
        <v>0</v>
      </c>
    </row>
    <row r="250" spans="2:8" x14ac:dyDescent="0.25">
      <c r="B250" s="46"/>
      <c r="C250" s="47"/>
      <c r="D250" s="69"/>
      <c r="E250" s="49"/>
      <c r="F250" s="71"/>
      <c r="G250" s="51"/>
      <c r="H250" s="51">
        <f t="shared" ref="H250:H251" si="20">F250*G250</f>
        <v>0</v>
      </c>
    </row>
    <row r="251" spans="2:8" x14ac:dyDescent="0.25">
      <c r="B251" s="46"/>
      <c r="C251" s="47"/>
      <c r="D251" s="69"/>
      <c r="E251" s="49"/>
      <c r="F251" s="71"/>
      <c r="G251" s="51"/>
      <c r="H251" s="51">
        <f t="shared" si="20"/>
        <v>0</v>
      </c>
    </row>
    <row r="252" spans="2:8" x14ac:dyDescent="0.25">
      <c r="B252" s="52" t="s">
        <v>130</v>
      </c>
      <c r="C252" s="195"/>
      <c r="D252" s="196"/>
      <c r="E252" s="196"/>
      <c r="F252" s="196"/>
      <c r="G252" s="196"/>
      <c r="H252" s="197"/>
    </row>
    <row r="255" spans="2:8" ht="15.75" x14ac:dyDescent="0.25">
      <c r="B255" s="215" t="s">
        <v>267</v>
      </c>
      <c r="C255" s="216"/>
      <c r="D255" s="216"/>
      <c r="E255" s="216"/>
      <c r="F255" s="216"/>
      <c r="G255" s="216"/>
      <c r="H255" s="217"/>
    </row>
    <row r="256" spans="2:8" x14ac:dyDescent="0.25">
      <c r="B256" s="38" t="s">
        <v>121</v>
      </c>
      <c r="C256" s="39" t="s">
        <v>122</v>
      </c>
      <c r="D256" s="38" t="s">
        <v>123</v>
      </c>
      <c r="E256" s="38" t="s">
        <v>124</v>
      </c>
      <c r="F256" s="84" t="s">
        <v>125</v>
      </c>
      <c r="G256" s="40" t="s">
        <v>126</v>
      </c>
      <c r="H256" s="41" t="s">
        <v>127</v>
      </c>
    </row>
    <row r="257" spans="2:8" x14ac:dyDescent="0.25">
      <c r="B257" s="42"/>
      <c r="C257" s="43"/>
      <c r="D257" s="44"/>
      <c r="E257" s="38"/>
      <c r="F257" s="84"/>
      <c r="G257" s="40"/>
      <c r="H257" s="45">
        <f>SUM(H258:H260)</f>
        <v>0</v>
      </c>
    </row>
    <row r="258" spans="2:8" x14ac:dyDescent="0.25">
      <c r="B258" s="53"/>
      <c r="C258" s="43"/>
      <c r="D258" s="53"/>
      <c r="E258" s="49"/>
      <c r="G258" s="54"/>
      <c r="H258" s="51">
        <f>F258*G258</f>
        <v>0</v>
      </c>
    </row>
    <row r="259" spans="2:8" x14ac:dyDescent="0.25">
      <c r="B259" s="53"/>
      <c r="C259" s="43"/>
      <c r="D259" s="53"/>
      <c r="E259" s="49"/>
      <c r="F259" s="71"/>
      <c r="G259" s="54"/>
      <c r="H259" s="51">
        <f t="shared" ref="H259:H260" si="21">F259*G259</f>
        <v>0</v>
      </c>
    </row>
    <row r="260" spans="2:8" x14ac:dyDescent="0.25">
      <c r="B260" s="53"/>
      <c r="C260" s="43"/>
      <c r="D260" s="53"/>
      <c r="E260" s="49"/>
      <c r="F260" s="71"/>
      <c r="G260" s="54"/>
      <c r="H260" s="51">
        <f t="shared" si="21"/>
        <v>0</v>
      </c>
    </row>
    <row r="261" spans="2:8" x14ac:dyDescent="0.25">
      <c r="B261" s="52" t="s">
        <v>130</v>
      </c>
      <c r="C261" s="195"/>
      <c r="D261" s="196"/>
      <c r="E261" s="196"/>
      <c r="F261" s="196"/>
      <c r="G261" s="196"/>
      <c r="H261" s="197"/>
    </row>
    <row r="264" spans="2:8" ht="15.75" x14ac:dyDescent="0.25">
      <c r="B264" s="215" t="s">
        <v>1298</v>
      </c>
      <c r="C264" s="216"/>
      <c r="D264" s="216"/>
      <c r="E264" s="216"/>
      <c r="F264" s="216"/>
      <c r="G264" s="216"/>
      <c r="H264" s="217"/>
    </row>
    <row r="265" spans="2:8" x14ac:dyDescent="0.25">
      <c r="B265" s="38" t="s">
        <v>121</v>
      </c>
      <c r="C265" s="39" t="s">
        <v>122</v>
      </c>
      <c r="D265" s="38" t="s">
        <v>123</v>
      </c>
      <c r="E265" s="38" t="s">
        <v>124</v>
      </c>
      <c r="F265" s="84" t="s">
        <v>125</v>
      </c>
      <c r="G265" s="40" t="s">
        <v>126</v>
      </c>
      <c r="H265" s="41" t="s">
        <v>127</v>
      </c>
    </row>
    <row r="266" spans="2:8" ht="30" x14ac:dyDescent="0.25">
      <c r="B266" s="42" t="s">
        <v>1301</v>
      </c>
      <c r="C266" s="43" t="s">
        <v>1297</v>
      </c>
      <c r="D266" s="44" t="s">
        <v>117</v>
      </c>
      <c r="E266" s="38" t="s">
        <v>128</v>
      </c>
      <c r="F266" s="84"/>
      <c r="G266" s="40"/>
      <c r="H266" s="45">
        <f>SUM(H267:H267)</f>
        <v>27.395999999999997</v>
      </c>
    </row>
    <row r="267" spans="2:8" ht="30" x14ac:dyDescent="0.25">
      <c r="B267" s="46" t="s">
        <v>1302</v>
      </c>
      <c r="C267" s="47" t="s">
        <v>1300</v>
      </c>
      <c r="D267" s="69" t="s">
        <v>143</v>
      </c>
      <c r="E267" s="49" t="s">
        <v>159</v>
      </c>
      <c r="F267" s="129">
        <v>0.72</v>
      </c>
      <c r="G267" s="51">
        <v>38.049999999999997</v>
      </c>
      <c r="H267" s="51">
        <f>F267*G267</f>
        <v>27.395999999999997</v>
      </c>
    </row>
    <row r="268" spans="2:8" x14ac:dyDescent="0.25">
      <c r="B268" s="52" t="s">
        <v>130</v>
      </c>
      <c r="C268" s="195" t="s">
        <v>321</v>
      </c>
      <c r="D268" s="196"/>
      <c r="E268" s="196"/>
      <c r="F268" s="196"/>
      <c r="G268" s="196"/>
      <c r="H268" s="197"/>
    </row>
    <row r="271" spans="2:8" ht="15.75" x14ac:dyDescent="0.25">
      <c r="B271" s="218" t="s">
        <v>277</v>
      </c>
      <c r="C271" s="214"/>
      <c r="D271" s="214"/>
      <c r="E271" s="214"/>
      <c r="F271" s="214"/>
      <c r="G271" s="214"/>
      <c r="H271" s="214"/>
    </row>
    <row r="272" spans="2:8" x14ac:dyDescent="0.25">
      <c r="B272" s="38" t="s">
        <v>121</v>
      </c>
      <c r="C272" s="39" t="s">
        <v>122</v>
      </c>
      <c r="D272" s="38" t="s">
        <v>123</v>
      </c>
      <c r="E272" s="38" t="s">
        <v>124</v>
      </c>
      <c r="F272" s="84" t="s">
        <v>125</v>
      </c>
      <c r="G272" s="40" t="s">
        <v>126</v>
      </c>
      <c r="H272" s="41" t="s">
        <v>127</v>
      </c>
    </row>
    <row r="273" spans="2:8" ht="30" x14ac:dyDescent="0.25">
      <c r="B273" s="42" t="s">
        <v>1736</v>
      </c>
      <c r="C273" s="43" t="s">
        <v>1303</v>
      </c>
      <c r="D273" s="44" t="s">
        <v>117</v>
      </c>
      <c r="E273" s="38" t="s">
        <v>128</v>
      </c>
      <c r="F273" s="84"/>
      <c r="G273" s="40"/>
      <c r="H273" s="45">
        <f>SUM(H276:H280)</f>
        <v>26.016958000000002</v>
      </c>
    </row>
    <row r="274" spans="2:8" x14ac:dyDescent="0.25">
      <c r="B274" s="46" t="s">
        <v>656</v>
      </c>
      <c r="C274" s="47" t="s">
        <v>1111</v>
      </c>
      <c r="D274" s="69" t="s">
        <v>138</v>
      </c>
      <c r="E274" s="49" t="s">
        <v>272</v>
      </c>
      <c r="F274" s="71">
        <v>0.22</v>
      </c>
      <c r="G274" s="51">
        <v>4.8600000000000003</v>
      </c>
      <c r="H274" s="51">
        <f>F274*G274</f>
        <v>1.0692000000000002</v>
      </c>
    </row>
    <row r="275" spans="2:8" x14ac:dyDescent="0.25">
      <c r="B275" s="46" t="s">
        <v>655</v>
      </c>
      <c r="C275" s="47" t="s">
        <v>1147</v>
      </c>
      <c r="D275" s="69" t="s">
        <v>138</v>
      </c>
      <c r="E275" s="49" t="s">
        <v>272</v>
      </c>
      <c r="F275" s="71">
        <v>0.22</v>
      </c>
      <c r="G275" s="51">
        <v>8.24</v>
      </c>
      <c r="H275" s="51">
        <f t="shared" ref="H275:H279" si="22">F275*G275</f>
        <v>1.8128</v>
      </c>
    </row>
    <row r="276" spans="2:8" x14ac:dyDescent="0.25">
      <c r="B276" s="46"/>
      <c r="C276" s="43" t="s">
        <v>155</v>
      </c>
      <c r="D276" s="61" t="s">
        <v>156</v>
      </c>
      <c r="E276" s="38" t="s">
        <v>139</v>
      </c>
      <c r="F276" s="121">
        <v>1.3</v>
      </c>
      <c r="G276" s="63"/>
      <c r="H276" s="63">
        <f>(SUM(H274:H275))*(1+F276)</f>
        <v>6.6285999999999996</v>
      </c>
    </row>
    <row r="277" spans="2:8" ht="30" x14ac:dyDescent="0.25">
      <c r="B277" s="46" t="s">
        <v>1306</v>
      </c>
      <c r="C277" s="47" t="s">
        <v>1304</v>
      </c>
      <c r="D277" s="69" t="s">
        <v>117</v>
      </c>
      <c r="E277" s="49" t="s">
        <v>159</v>
      </c>
      <c r="F277" s="71">
        <v>1.0942000000000001</v>
      </c>
      <c r="G277" s="51">
        <v>14.49</v>
      </c>
      <c r="H277" s="51">
        <f t="shared" si="22"/>
        <v>15.854958000000002</v>
      </c>
    </row>
    <row r="278" spans="2:8" ht="22.5" customHeight="1" x14ac:dyDescent="0.25">
      <c r="B278" s="46" t="s">
        <v>1309</v>
      </c>
      <c r="C278" s="47" t="s">
        <v>1305</v>
      </c>
      <c r="D278" s="69" t="s">
        <v>123</v>
      </c>
      <c r="E278" s="49" t="s">
        <v>159</v>
      </c>
      <c r="F278" s="71">
        <v>0.63</v>
      </c>
      <c r="G278" s="51">
        <v>2.34</v>
      </c>
      <c r="H278" s="51">
        <f t="shared" si="22"/>
        <v>1.4742</v>
      </c>
    </row>
    <row r="279" spans="2:8" ht="30" x14ac:dyDescent="0.25">
      <c r="B279" s="46" t="s">
        <v>1310</v>
      </c>
      <c r="C279" s="47" t="s">
        <v>1307</v>
      </c>
      <c r="D279" s="69" t="s">
        <v>1312</v>
      </c>
      <c r="E279" s="49" t="s">
        <v>159</v>
      </c>
      <c r="F279" s="71">
        <v>1.04</v>
      </c>
      <c r="G279" s="51">
        <v>0.21</v>
      </c>
      <c r="H279" s="51">
        <f t="shared" si="22"/>
        <v>0.21840000000000001</v>
      </c>
    </row>
    <row r="280" spans="2:8" ht="30" x14ac:dyDescent="0.25">
      <c r="B280" s="46" t="s">
        <v>1311</v>
      </c>
      <c r="C280" s="47" t="s">
        <v>1308</v>
      </c>
      <c r="D280" s="69" t="s">
        <v>123</v>
      </c>
      <c r="E280" s="49" t="s">
        <v>159</v>
      </c>
      <c r="F280" s="71">
        <v>1.04</v>
      </c>
      <c r="G280" s="51">
        <v>1.77</v>
      </c>
      <c r="H280" s="51">
        <f>F280*G280</f>
        <v>1.8408</v>
      </c>
    </row>
    <row r="281" spans="2:8" x14ac:dyDescent="0.25">
      <c r="B281" s="52" t="s">
        <v>130</v>
      </c>
      <c r="C281" s="192" t="s">
        <v>321</v>
      </c>
      <c r="D281" s="192"/>
      <c r="E281" s="192"/>
      <c r="F281" s="192"/>
      <c r="G281" s="192"/>
      <c r="H281" s="192"/>
    </row>
    <row r="284" spans="2:8" ht="15.75" x14ac:dyDescent="0.25">
      <c r="B284" s="218" t="s">
        <v>1314</v>
      </c>
      <c r="C284" s="214"/>
      <c r="D284" s="214"/>
      <c r="E284" s="214"/>
      <c r="F284" s="214"/>
      <c r="G284" s="214"/>
      <c r="H284" s="214"/>
    </row>
    <row r="285" spans="2:8" x14ac:dyDescent="0.25">
      <c r="B285" s="38" t="s">
        <v>121</v>
      </c>
      <c r="C285" s="39" t="s">
        <v>122</v>
      </c>
      <c r="D285" s="38" t="s">
        <v>123</v>
      </c>
      <c r="E285" s="38" t="s">
        <v>124</v>
      </c>
      <c r="F285" s="84" t="s">
        <v>125</v>
      </c>
      <c r="G285" s="40" t="s">
        <v>126</v>
      </c>
      <c r="H285" s="41" t="s">
        <v>127</v>
      </c>
    </row>
    <row r="286" spans="2:8" x14ac:dyDescent="0.25">
      <c r="B286" s="42" t="s">
        <v>1315</v>
      </c>
      <c r="C286" s="74" t="s">
        <v>1316</v>
      </c>
      <c r="D286" s="44" t="s">
        <v>143</v>
      </c>
      <c r="E286" s="38" t="s">
        <v>128</v>
      </c>
      <c r="F286" s="84"/>
      <c r="G286" s="40"/>
      <c r="H286" s="45">
        <f>SUM(H289:H296)</f>
        <v>32.647948</v>
      </c>
    </row>
    <row r="287" spans="2:8" x14ac:dyDescent="0.25">
      <c r="B287" s="46" t="s">
        <v>656</v>
      </c>
      <c r="C287" s="47" t="s">
        <v>1111</v>
      </c>
      <c r="D287" s="69" t="s">
        <v>138</v>
      </c>
      <c r="E287" s="49" t="s">
        <v>272</v>
      </c>
      <c r="F287" s="71">
        <v>0.20699999999999999</v>
      </c>
      <c r="G287" s="51">
        <v>4.8600000000000003</v>
      </c>
      <c r="H287" s="51">
        <f>F287*G287</f>
        <v>1.0060199999999999</v>
      </c>
    </row>
    <row r="288" spans="2:8" x14ac:dyDescent="0.25">
      <c r="B288" s="46" t="s">
        <v>1318</v>
      </c>
      <c r="C288" s="47" t="s">
        <v>1317</v>
      </c>
      <c r="D288" s="69" t="s">
        <v>138</v>
      </c>
      <c r="E288" s="49" t="s">
        <v>272</v>
      </c>
      <c r="F288" s="71">
        <v>0.112</v>
      </c>
      <c r="G288" s="51">
        <v>8.24</v>
      </c>
      <c r="H288" s="51">
        <f t="shared" ref="H288:H296" si="23">F288*G288</f>
        <v>0.92288000000000003</v>
      </c>
    </row>
    <row r="289" spans="2:8" x14ac:dyDescent="0.25">
      <c r="B289" s="46"/>
      <c r="C289" s="43" t="s">
        <v>155</v>
      </c>
      <c r="D289" s="61" t="s">
        <v>156</v>
      </c>
      <c r="E289" s="38" t="s">
        <v>139</v>
      </c>
      <c r="F289" s="121">
        <v>1.3</v>
      </c>
      <c r="G289" s="63"/>
      <c r="H289" s="63">
        <f>(SUM(H287:H288))*(1+F289)</f>
        <v>4.4364699999999999</v>
      </c>
    </row>
    <row r="290" spans="2:8" x14ac:dyDescent="0.25">
      <c r="B290" s="46" t="s">
        <v>1320</v>
      </c>
      <c r="C290" s="47" t="s">
        <v>1319</v>
      </c>
      <c r="D290" s="69" t="s">
        <v>1321</v>
      </c>
      <c r="E290" s="49" t="s">
        <v>159</v>
      </c>
      <c r="F290" s="71">
        <v>0.19800000000000001</v>
      </c>
      <c r="G290" s="51">
        <v>23.83</v>
      </c>
      <c r="H290" s="51">
        <f>F290*G290</f>
        <v>4.7183399999999995</v>
      </c>
    </row>
    <row r="291" spans="2:8" x14ac:dyDescent="0.25">
      <c r="B291" s="46" t="s">
        <v>1326</v>
      </c>
      <c r="C291" s="47" t="s">
        <v>1322</v>
      </c>
      <c r="D291" s="69" t="s">
        <v>59</v>
      </c>
      <c r="E291" s="49" t="s">
        <v>159</v>
      </c>
      <c r="F291" s="71">
        <v>6.0000000000000001E-3</v>
      </c>
      <c r="G291" s="51">
        <v>10.55</v>
      </c>
      <c r="H291" s="51">
        <f>F291*G291</f>
        <v>6.3300000000000009E-2</v>
      </c>
    </row>
    <row r="292" spans="2:8" x14ac:dyDescent="0.25">
      <c r="B292" s="46" t="s">
        <v>1327</v>
      </c>
      <c r="C292" s="47" t="s">
        <v>1323</v>
      </c>
      <c r="D292" s="69" t="s">
        <v>59</v>
      </c>
      <c r="E292" s="49" t="s">
        <v>159</v>
      </c>
      <c r="F292" s="71">
        <v>1.1999999999999999E-3</v>
      </c>
      <c r="G292" s="51">
        <v>56.86</v>
      </c>
      <c r="H292" s="51">
        <f t="shared" si="23"/>
        <v>6.8231999999999987E-2</v>
      </c>
    </row>
    <row r="293" spans="2:8" x14ac:dyDescent="0.25">
      <c r="B293" s="46" t="s">
        <v>1328</v>
      </c>
      <c r="C293" s="47" t="s">
        <v>1324</v>
      </c>
      <c r="D293" s="69" t="s">
        <v>59</v>
      </c>
      <c r="E293" s="49" t="s">
        <v>159</v>
      </c>
      <c r="F293" s="71">
        <v>4.4999999999999998E-2</v>
      </c>
      <c r="G293" s="51">
        <v>126.52</v>
      </c>
      <c r="H293" s="51">
        <f t="shared" si="23"/>
        <v>5.6933999999999996</v>
      </c>
    </row>
    <row r="294" spans="2:8" ht="30" x14ac:dyDescent="0.25">
      <c r="B294" s="46" t="s">
        <v>1332</v>
      </c>
      <c r="C294" s="47" t="s">
        <v>1330</v>
      </c>
      <c r="D294" s="72" t="s">
        <v>249</v>
      </c>
      <c r="E294" s="49" t="s">
        <v>129</v>
      </c>
      <c r="F294" s="71">
        <v>1.32E-2</v>
      </c>
      <c r="G294" s="51">
        <v>26.74</v>
      </c>
      <c r="H294" s="51">
        <f t="shared" si="23"/>
        <v>0.352968</v>
      </c>
    </row>
    <row r="295" spans="2:8" ht="30" x14ac:dyDescent="0.25">
      <c r="B295" s="46" t="s">
        <v>1333</v>
      </c>
      <c r="C295" s="47" t="s">
        <v>1331</v>
      </c>
      <c r="D295" s="72" t="s">
        <v>250</v>
      </c>
      <c r="E295" s="49" t="s">
        <v>129</v>
      </c>
      <c r="F295" s="71">
        <v>1.83E-2</v>
      </c>
      <c r="G295" s="51">
        <v>25.86</v>
      </c>
      <c r="H295" s="51">
        <f t="shared" si="23"/>
        <v>0.47323799999999999</v>
      </c>
    </row>
    <row r="296" spans="2:8" x14ac:dyDescent="0.25">
      <c r="B296" s="46" t="s">
        <v>1329</v>
      </c>
      <c r="C296" s="47" t="s">
        <v>1325</v>
      </c>
      <c r="D296" s="69" t="s">
        <v>143</v>
      </c>
      <c r="E296" s="49" t="s">
        <v>159</v>
      </c>
      <c r="F296" s="71">
        <v>1.05</v>
      </c>
      <c r="G296" s="51">
        <v>16.04</v>
      </c>
      <c r="H296" s="51">
        <f t="shared" si="23"/>
        <v>16.841999999999999</v>
      </c>
    </row>
    <row r="297" spans="2:8" x14ac:dyDescent="0.25">
      <c r="B297" s="52" t="s">
        <v>130</v>
      </c>
      <c r="C297" s="192" t="s">
        <v>232</v>
      </c>
      <c r="D297" s="192"/>
      <c r="E297" s="192"/>
      <c r="F297" s="192"/>
      <c r="G297" s="192"/>
      <c r="H297" s="192"/>
    </row>
    <row r="300" spans="2:8" ht="15.75" x14ac:dyDescent="0.25">
      <c r="B300" s="214" t="s">
        <v>1336</v>
      </c>
      <c r="C300" s="214"/>
      <c r="D300" s="214"/>
      <c r="E300" s="214"/>
      <c r="F300" s="214"/>
      <c r="G300" s="214"/>
      <c r="H300" s="214"/>
    </row>
    <row r="301" spans="2:8" x14ac:dyDescent="0.25">
      <c r="B301" s="38" t="s">
        <v>121</v>
      </c>
      <c r="C301" s="39" t="s">
        <v>122</v>
      </c>
      <c r="D301" s="38" t="s">
        <v>123</v>
      </c>
      <c r="E301" s="38" t="s">
        <v>124</v>
      </c>
      <c r="F301" s="84" t="s">
        <v>125</v>
      </c>
      <c r="G301" s="40" t="s">
        <v>126</v>
      </c>
      <c r="H301" s="41" t="s">
        <v>127</v>
      </c>
    </row>
    <row r="302" spans="2:8" x14ac:dyDescent="0.25">
      <c r="B302" s="42" t="s">
        <v>304</v>
      </c>
      <c r="C302" s="74" t="s">
        <v>1337</v>
      </c>
      <c r="D302" s="44" t="s">
        <v>143</v>
      </c>
      <c r="E302" s="38" t="s">
        <v>128</v>
      </c>
      <c r="F302" s="84"/>
      <c r="G302" s="40"/>
      <c r="H302" s="45">
        <f>SUM(H305:H312)</f>
        <v>54.158591999999999</v>
      </c>
    </row>
    <row r="303" spans="2:8" x14ac:dyDescent="0.25">
      <c r="B303" s="46" t="s">
        <v>656</v>
      </c>
      <c r="C303" s="47" t="s">
        <v>1111</v>
      </c>
      <c r="D303" s="69" t="s">
        <v>138</v>
      </c>
      <c r="E303" s="49" t="s">
        <v>272</v>
      </c>
      <c r="F303" s="71">
        <v>0.371</v>
      </c>
      <c r="G303" s="51">
        <v>4.8600000000000003</v>
      </c>
      <c r="H303" s="51">
        <f>F303*G303</f>
        <v>1.8030600000000001</v>
      </c>
    </row>
    <row r="304" spans="2:8" x14ac:dyDescent="0.25">
      <c r="B304" s="46" t="s">
        <v>1318</v>
      </c>
      <c r="C304" s="47" t="s">
        <v>1317</v>
      </c>
      <c r="D304" s="69" t="s">
        <v>138</v>
      </c>
      <c r="E304" s="49" t="s">
        <v>272</v>
      </c>
      <c r="F304" s="71">
        <v>0.27700000000000002</v>
      </c>
      <c r="G304" s="51">
        <v>8.24</v>
      </c>
      <c r="H304" s="51">
        <f t="shared" ref="H304" si="24">F304*G304</f>
        <v>2.2824800000000001</v>
      </c>
    </row>
    <row r="305" spans="2:8" x14ac:dyDescent="0.25">
      <c r="B305" s="46"/>
      <c r="C305" s="43" t="s">
        <v>155</v>
      </c>
      <c r="D305" s="61" t="s">
        <v>156</v>
      </c>
      <c r="E305" s="38" t="s">
        <v>139</v>
      </c>
      <c r="F305" s="121">
        <v>1.3</v>
      </c>
      <c r="G305" s="63"/>
      <c r="H305" s="63">
        <f>(SUM(H303:H304))*(1+F305)</f>
        <v>9.3967419999999997</v>
      </c>
    </row>
    <row r="306" spans="2:8" x14ac:dyDescent="0.25">
      <c r="B306" s="46" t="s">
        <v>1320</v>
      </c>
      <c r="C306" s="47" t="s">
        <v>1319</v>
      </c>
      <c r="D306" s="69" t="s">
        <v>1321</v>
      </c>
      <c r="E306" s="49" t="s">
        <v>159</v>
      </c>
      <c r="F306" s="71">
        <v>8.1000000000000003E-2</v>
      </c>
      <c r="G306" s="51">
        <v>23.83</v>
      </c>
      <c r="H306" s="51">
        <f t="shared" ref="H306:H311" si="25">F306*G306</f>
        <v>1.9302299999999999</v>
      </c>
    </row>
    <row r="307" spans="2:8" x14ac:dyDescent="0.25">
      <c r="B307" s="46" t="s">
        <v>1326</v>
      </c>
      <c r="C307" s="47" t="s">
        <v>1322</v>
      </c>
      <c r="D307" s="69" t="s">
        <v>59</v>
      </c>
      <c r="E307" s="49" t="s">
        <v>159</v>
      </c>
      <c r="F307" s="71">
        <v>1.2999999999999999E-2</v>
      </c>
      <c r="G307" s="51">
        <v>10.55</v>
      </c>
      <c r="H307" s="51">
        <f t="shared" si="25"/>
        <v>0.13714999999999999</v>
      </c>
    </row>
    <row r="308" spans="2:8" x14ac:dyDescent="0.25">
      <c r="B308" s="46" t="s">
        <v>1327</v>
      </c>
      <c r="C308" s="47" t="s">
        <v>1323</v>
      </c>
      <c r="D308" s="69" t="s">
        <v>59</v>
      </c>
      <c r="E308" s="49" t="s">
        <v>159</v>
      </c>
      <c r="F308" s="71">
        <v>2.3999999999999998E-3</v>
      </c>
      <c r="G308" s="51">
        <v>56.86</v>
      </c>
      <c r="H308" s="51">
        <f t="shared" si="25"/>
        <v>0.13646399999999997</v>
      </c>
    </row>
    <row r="309" spans="2:8" x14ac:dyDescent="0.25">
      <c r="B309" s="46" t="s">
        <v>1328</v>
      </c>
      <c r="C309" s="47" t="s">
        <v>1324</v>
      </c>
      <c r="D309" s="69" t="s">
        <v>59</v>
      </c>
      <c r="E309" s="49" t="s">
        <v>159</v>
      </c>
      <c r="F309" s="71">
        <v>0.09</v>
      </c>
      <c r="G309" s="51">
        <v>126.52</v>
      </c>
      <c r="H309" s="51">
        <f t="shared" si="25"/>
        <v>11.386799999999999</v>
      </c>
    </row>
    <row r="310" spans="2:8" ht="30" x14ac:dyDescent="0.25">
      <c r="B310" s="46" t="s">
        <v>1332</v>
      </c>
      <c r="C310" s="47" t="s">
        <v>1330</v>
      </c>
      <c r="D310" s="72" t="s">
        <v>249</v>
      </c>
      <c r="E310" s="49" t="s">
        <v>129</v>
      </c>
      <c r="F310" s="71">
        <v>1.32E-2</v>
      </c>
      <c r="G310" s="51">
        <v>26.74</v>
      </c>
      <c r="H310" s="51">
        <f t="shared" si="25"/>
        <v>0.352968</v>
      </c>
    </row>
    <row r="311" spans="2:8" ht="30" x14ac:dyDescent="0.25">
      <c r="B311" s="46" t="s">
        <v>1333</v>
      </c>
      <c r="C311" s="47" t="s">
        <v>1331</v>
      </c>
      <c r="D311" s="72" t="s">
        <v>250</v>
      </c>
      <c r="E311" s="49" t="s">
        <v>129</v>
      </c>
      <c r="F311" s="71">
        <v>1.83E-2</v>
      </c>
      <c r="G311" s="51">
        <v>25.86</v>
      </c>
      <c r="H311" s="51">
        <f t="shared" si="25"/>
        <v>0.47323799999999999</v>
      </c>
    </row>
    <row r="312" spans="2:8" x14ac:dyDescent="0.25">
      <c r="B312" s="46" t="s">
        <v>1339</v>
      </c>
      <c r="C312" s="47" t="s">
        <v>1338</v>
      </c>
      <c r="D312" s="69" t="s">
        <v>143</v>
      </c>
      <c r="E312" s="49" t="s">
        <v>159</v>
      </c>
      <c r="F312" s="71">
        <v>1.05</v>
      </c>
      <c r="G312" s="51">
        <v>28.9</v>
      </c>
      <c r="H312" s="51">
        <f>F312*G312</f>
        <v>30.344999999999999</v>
      </c>
    </row>
    <row r="313" spans="2:8" x14ac:dyDescent="0.25">
      <c r="B313" s="52" t="s">
        <v>130</v>
      </c>
      <c r="C313" s="192" t="s">
        <v>232</v>
      </c>
      <c r="D313" s="192"/>
      <c r="E313" s="192"/>
      <c r="F313" s="192"/>
      <c r="G313" s="192"/>
      <c r="H313" s="192"/>
    </row>
    <row r="316" spans="2:8" ht="15.75" x14ac:dyDescent="0.25">
      <c r="B316" s="214" t="s">
        <v>1253</v>
      </c>
      <c r="C316" s="214"/>
      <c r="D316" s="214"/>
      <c r="E316" s="214"/>
      <c r="F316" s="214"/>
      <c r="G316" s="214"/>
      <c r="H316" s="214"/>
    </row>
    <row r="317" spans="2:8" x14ac:dyDescent="0.25">
      <c r="B317" s="38" t="s">
        <v>121</v>
      </c>
      <c r="C317" s="39" t="s">
        <v>122</v>
      </c>
      <c r="D317" s="38" t="s">
        <v>123</v>
      </c>
      <c r="E317" s="38" t="s">
        <v>124</v>
      </c>
      <c r="F317" s="84" t="s">
        <v>125</v>
      </c>
      <c r="G317" s="40" t="s">
        <v>126</v>
      </c>
      <c r="H317" s="41" t="s">
        <v>127</v>
      </c>
    </row>
    <row r="318" spans="2:8" x14ac:dyDescent="0.25">
      <c r="B318" s="42" t="s">
        <v>1255</v>
      </c>
      <c r="C318" s="43" t="s">
        <v>1254</v>
      </c>
      <c r="D318" s="44" t="s">
        <v>117</v>
      </c>
      <c r="E318" s="38" t="s">
        <v>128</v>
      </c>
      <c r="F318" s="84"/>
      <c r="G318" s="40"/>
      <c r="H318" s="45">
        <f>SUM(H321:H322)</f>
        <v>26.657744000000001</v>
      </c>
    </row>
    <row r="319" spans="2:8" x14ac:dyDescent="0.25">
      <c r="B319" s="53" t="s">
        <v>1258</v>
      </c>
      <c r="C319" s="47" t="s">
        <v>1256</v>
      </c>
      <c r="D319" s="69" t="s">
        <v>138</v>
      </c>
      <c r="E319" s="49" t="s">
        <v>272</v>
      </c>
      <c r="F319" s="71">
        <v>8.5000000000000006E-2</v>
      </c>
      <c r="G319" s="51">
        <v>5.13</v>
      </c>
      <c r="H319" s="51">
        <f t="shared" ref="H319" si="26">F319*G319</f>
        <v>0.43605000000000005</v>
      </c>
    </row>
    <row r="320" spans="2:8" x14ac:dyDescent="0.25">
      <c r="B320" s="53" t="s">
        <v>1259</v>
      </c>
      <c r="C320" s="47" t="s">
        <v>1257</v>
      </c>
      <c r="D320" s="69" t="s">
        <v>138</v>
      </c>
      <c r="E320" s="49" t="s">
        <v>272</v>
      </c>
      <c r="F320" s="71">
        <v>0.42199999999999999</v>
      </c>
      <c r="G320" s="51">
        <v>8.24</v>
      </c>
      <c r="H320" s="51">
        <f t="shared" ref="H320:H322" si="27">F320*G320</f>
        <v>3.4772799999999999</v>
      </c>
    </row>
    <row r="321" spans="2:8" x14ac:dyDescent="0.25">
      <c r="B321" s="46"/>
      <c r="C321" s="43" t="s">
        <v>155</v>
      </c>
      <c r="D321" s="61" t="s">
        <v>156</v>
      </c>
      <c r="E321" s="38" t="s">
        <v>139</v>
      </c>
      <c r="F321" s="121">
        <v>1.3</v>
      </c>
      <c r="G321" s="63"/>
      <c r="H321" s="63">
        <f>(H320)*(1+F321)</f>
        <v>7.9977439999999991</v>
      </c>
    </row>
    <row r="322" spans="2:8" ht="41.25" customHeight="1" x14ac:dyDescent="0.25">
      <c r="B322" s="53" t="s">
        <v>1260</v>
      </c>
      <c r="C322" s="47" t="s">
        <v>1261</v>
      </c>
      <c r="D322" s="69" t="s">
        <v>168</v>
      </c>
      <c r="E322" s="49" t="s">
        <v>159</v>
      </c>
      <c r="F322" s="71">
        <v>1.5</v>
      </c>
      <c r="G322" s="88">
        <v>12.44</v>
      </c>
      <c r="H322" s="51">
        <f t="shared" si="27"/>
        <v>18.66</v>
      </c>
    </row>
    <row r="323" spans="2:8" x14ac:dyDescent="0.25">
      <c r="B323" s="52" t="s">
        <v>130</v>
      </c>
      <c r="C323" s="192" t="s">
        <v>232</v>
      </c>
      <c r="D323" s="192"/>
      <c r="E323" s="192"/>
      <c r="F323" s="192"/>
      <c r="G323" s="192"/>
      <c r="H323" s="192"/>
    </row>
    <row r="326" spans="2:8" ht="15.75" x14ac:dyDescent="0.25">
      <c r="B326" s="214" t="s">
        <v>694</v>
      </c>
      <c r="C326" s="214"/>
      <c r="D326" s="214"/>
      <c r="E326" s="214"/>
      <c r="F326" s="214"/>
      <c r="G326" s="214"/>
      <c r="H326" s="214"/>
    </row>
    <row r="327" spans="2:8" x14ac:dyDescent="0.25">
      <c r="B327" s="38" t="s">
        <v>121</v>
      </c>
      <c r="C327" s="39" t="s">
        <v>122</v>
      </c>
      <c r="D327" s="38" t="s">
        <v>123</v>
      </c>
      <c r="E327" s="38" t="s">
        <v>124</v>
      </c>
      <c r="F327" s="84" t="s">
        <v>125</v>
      </c>
      <c r="G327" s="40" t="s">
        <v>126</v>
      </c>
      <c r="H327" s="41" t="s">
        <v>127</v>
      </c>
    </row>
    <row r="328" spans="2:8" x14ac:dyDescent="0.25">
      <c r="B328" s="42" t="s">
        <v>695</v>
      </c>
      <c r="C328" s="43" t="s">
        <v>119</v>
      </c>
      <c r="D328" s="44" t="s">
        <v>117</v>
      </c>
      <c r="E328" s="38" t="s">
        <v>128</v>
      </c>
      <c r="F328" s="84"/>
      <c r="G328" s="40"/>
      <c r="H328" s="45">
        <f>SUM(H330:H331)</f>
        <v>4.8903999999999996</v>
      </c>
    </row>
    <row r="329" spans="2:8" x14ac:dyDescent="0.25">
      <c r="B329" s="53" t="s">
        <v>696</v>
      </c>
      <c r="C329" s="47" t="s">
        <v>977</v>
      </c>
      <c r="D329" s="69" t="s">
        <v>319</v>
      </c>
      <c r="E329" s="49" t="s">
        <v>272</v>
      </c>
      <c r="F329" s="71">
        <v>0.2</v>
      </c>
      <c r="G329" s="88">
        <v>8.24</v>
      </c>
      <c r="H329" s="51">
        <f t="shared" ref="H329:H331" si="28">F329*G329</f>
        <v>1.6480000000000001</v>
      </c>
    </row>
    <row r="330" spans="2:8" x14ac:dyDescent="0.25">
      <c r="B330" s="46"/>
      <c r="C330" s="43" t="s">
        <v>155</v>
      </c>
      <c r="D330" s="61" t="s">
        <v>156</v>
      </c>
      <c r="E330" s="38" t="s">
        <v>139</v>
      </c>
      <c r="F330" s="121">
        <v>1.3</v>
      </c>
      <c r="G330" s="63"/>
      <c r="H330" s="63">
        <f>(SUM(H329))*(1+F330)</f>
        <v>3.7904</v>
      </c>
    </row>
    <row r="331" spans="2:8" x14ac:dyDescent="0.25">
      <c r="B331" s="53" t="s">
        <v>697</v>
      </c>
      <c r="C331" s="47" t="s">
        <v>698</v>
      </c>
      <c r="D331" s="69" t="s">
        <v>117</v>
      </c>
      <c r="E331" s="49" t="s">
        <v>159</v>
      </c>
      <c r="F331" s="71">
        <v>1.1000000000000001</v>
      </c>
      <c r="G331" s="51">
        <v>1</v>
      </c>
      <c r="H331" s="51">
        <f t="shared" si="28"/>
        <v>1.1000000000000001</v>
      </c>
    </row>
    <row r="332" spans="2:8" x14ac:dyDescent="0.25">
      <c r="B332" s="52" t="s">
        <v>130</v>
      </c>
      <c r="C332" s="192" t="s">
        <v>321</v>
      </c>
      <c r="D332" s="192"/>
      <c r="E332" s="192"/>
      <c r="F332" s="192"/>
      <c r="G332" s="192"/>
      <c r="H332" s="192"/>
    </row>
    <row r="335" spans="2:8" ht="15.75" x14ac:dyDescent="0.25">
      <c r="B335" s="219" t="s">
        <v>320</v>
      </c>
      <c r="C335" s="219"/>
      <c r="D335" s="219"/>
      <c r="E335" s="219"/>
      <c r="F335" s="219"/>
      <c r="G335" s="219"/>
      <c r="H335" s="219"/>
    </row>
    <row r="336" spans="2:8" x14ac:dyDescent="0.25">
      <c r="B336" s="38" t="s">
        <v>121</v>
      </c>
      <c r="C336" s="39" t="s">
        <v>122</v>
      </c>
      <c r="D336" s="38" t="s">
        <v>123</v>
      </c>
      <c r="E336" s="38" t="s">
        <v>124</v>
      </c>
      <c r="F336" s="84" t="s">
        <v>125</v>
      </c>
      <c r="G336" s="40" t="s">
        <v>126</v>
      </c>
      <c r="H336" s="41" t="s">
        <v>127</v>
      </c>
    </row>
    <row r="337" spans="2:8" x14ac:dyDescent="0.25">
      <c r="B337" s="42" t="s">
        <v>699</v>
      </c>
      <c r="C337" s="43" t="s">
        <v>700</v>
      </c>
      <c r="D337" s="44" t="s">
        <v>117</v>
      </c>
      <c r="E337" s="38" t="s">
        <v>128</v>
      </c>
      <c r="F337" s="84"/>
      <c r="G337" s="40"/>
      <c r="H337" s="45">
        <f>SUM(H340:H341)</f>
        <v>27.811</v>
      </c>
    </row>
    <row r="338" spans="2:8" x14ac:dyDescent="0.25">
      <c r="B338" s="46" t="s">
        <v>701</v>
      </c>
      <c r="C338" s="47" t="s">
        <v>153</v>
      </c>
      <c r="D338" s="69" t="s">
        <v>138</v>
      </c>
      <c r="E338" s="49" t="s">
        <v>272</v>
      </c>
      <c r="F338" s="71">
        <v>0.7</v>
      </c>
      <c r="G338" s="88">
        <v>8.24</v>
      </c>
      <c r="H338" s="51">
        <f t="shared" ref="H338:H341" si="29">F338*G338</f>
        <v>5.7679999999999998</v>
      </c>
    </row>
    <row r="339" spans="2:8" x14ac:dyDescent="0.25">
      <c r="B339" s="46" t="s">
        <v>702</v>
      </c>
      <c r="C339" s="47" t="s">
        <v>703</v>
      </c>
      <c r="D339" s="69" t="s">
        <v>138</v>
      </c>
      <c r="E339" s="49" t="s">
        <v>272</v>
      </c>
      <c r="F339" s="71">
        <v>0.7</v>
      </c>
      <c r="G339" s="88">
        <v>4.8600000000000003</v>
      </c>
      <c r="H339" s="51">
        <f t="shared" si="29"/>
        <v>3.4020000000000001</v>
      </c>
    </row>
    <row r="340" spans="2:8" x14ac:dyDescent="0.25">
      <c r="B340" s="46"/>
      <c r="C340" s="43" t="s">
        <v>155</v>
      </c>
      <c r="D340" s="61" t="s">
        <v>156</v>
      </c>
      <c r="E340" s="38" t="s">
        <v>139</v>
      </c>
      <c r="F340" s="121">
        <v>1.3</v>
      </c>
      <c r="G340" s="63"/>
      <c r="H340" s="63">
        <f>(SUM(H338:H339))*(1+F340)</f>
        <v>21.090999999999998</v>
      </c>
    </row>
    <row r="341" spans="2:8" x14ac:dyDescent="0.25">
      <c r="B341" s="53" t="s">
        <v>704</v>
      </c>
      <c r="C341" s="47" t="s">
        <v>705</v>
      </c>
      <c r="D341" s="69" t="s">
        <v>64</v>
      </c>
      <c r="E341" s="49" t="s">
        <v>159</v>
      </c>
      <c r="F341" s="71">
        <v>3</v>
      </c>
      <c r="G341" s="40">
        <v>2.2400000000000002</v>
      </c>
      <c r="H341" s="51">
        <f t="shared" si="29"/>
        <v>6.7200000000000006</v>
      </c>
    </row>
    <row r="342" spans="2:8" x14ac:dyDescent="0.25">
      <c r="B342" s="52" t="s">
        <v>130</v>
      </c>
      <c r="C342" s="192" t="s">
        <v>321</v>
      </c>
      <c r="D342" s="192"/>
      <c r="E342" s="192"/>
      <c r="F342" s="192"/>
      <c r="G342" s="192"/>
      <c r="H342" s="192"/>
    </row>
    <row r="345" spans="2:8" ht="15.75" x14ac:dyDescent="0.25">
      <c r="B345" s="214" t="s">
        <v>1343</v>
      </c>
      <c r="C345" s="214"/>
      <c r="D345" s="214"/>
      <c r="E345" s="214"/>
      <c r="F345" s="214"/>
      <c r="G345" s="214"/>
      <c r="H345" s="214"/>
    </row>
    <row r="346" spans="2:8" x14ac:dyDescent="0.25">
      <c r="B346" s="38" t="s">
        <v>121</v>
      </c>
      <c r="C346" s="39" t="s">
        <v>122</v>
      </c>
      <c r="D346" s="38" t="s">
        <v>123</v>
      </c>
      <c r="E346" s="38" t="s">
        <v>124</v>
      </c>
      <c r="F346" s="84" t="s">
        <v>125</v>
      </c>
      <c r="G346" s="40" t="s">
        <v>126</v>
      </c>
      <c r="H346" s="41" t="s">
        <v>127</v>
      </c>
    </row>
    <row r="347" spans="2:8" x14ac:dyDescent="0.25">
      <c r="B347" s="46" t="s">
        <v>1344</v>
      </c>
      <c r="C347" s="43" t="s">
        <v>1341</v>
      </c>
      <c r="D347" s="44" t="s">
        <v>117</v>
      </c>
      <c r="E347" s="38" t="s">
        <v>128</v>
      </c>
      <c r="F347" s="84"/>
      <c r="G347" s="40"/>
      <c r="H347" s="45">
        <f>SUM(H350:H353)</f>
        <v>38.855860000000007</v>
      </c>
    </row>
    <row r="348" spans="2:8" x14ac:dyDescent="0.25">
      <c r="B348" s="46" t="s">
        <v>666</v>
      </c>
      <c r="C348" s="47" t="s">
        <v>1148</v>
      </c>
      <c r="D348" s="69" t="s">
        <v>138</v>
      </c>
      <c r="E348" s="49" t="s">
        <v>272</v>
      </c>
      <c r="F348" s="71">
        <v>0.93</v>
      </c>
      <c r="G348" s="88">
        <v>8.24</v>
      </c>
      <c r="H348" s="51">
        <f t="shared" ref="H348:H353" si="30">F348*G348</f>
        <v>7.6632000000000007</v>
      </c>
    </row>
    <row r="349" spans="2:8" x14ac:dyDescent="0.25">
      <c r="B349" s="46" t="s">
        <v>656</v>
      </c>
      <c r="C349" s="47" t="s">
        <v>1111</v>
      </c>
      <c r="D349" s="69" t="s">
        <v>138</v>
      </c>
      <c r="E349" s="49" t="s">
        <v>272</v>
      </c>
      <c r="F349" s="71">
        <v>0.75</v>
      </c>
      <c r="G349" s="88">
        <v>4.8600000000000003</v>
      </c>
      <c r="H349" s="51">
        <f t="shared" si="30"/>
        <v>3.6450000000000005</v>
      </c>
    </row>
    <row r="350" spans="2:8" x14ac:dyDescent="0.25">
      <c r="B350" s="46"/>
      <c r="C350" s="43" t="s">
        <v>155</v>
      </c>
      <c r="D350" s="61" t="s">
        <v>156</v>
      </c>
      <c r="E350" s="38" t="s">
        <v>139</v>
      </c>
      <c r="F350" s="121">
        <v>1.3</v>
      </c>
      <c r="G350" s="63"/>
      <c r="H350" s="63">
        <f>(SUM(H348:H349))*(1+F350)</f>
        <v>26.008860000000002</v>
      </c>
    </row>
    <row r="351" spans="2:8" x14ac:dyDescent="0.25">
      <c r="B351" s="53" t="s">
        <v>1346</v>
      </c>
      <c r="C351" s="47" t="s">
        <v>1345</v>
      </c>
      <c r="D351" s="69" t="s">
        <v>168</v>
      </c>
      <c r="E351" s="49" t="s">
        <v>159</v>
      </c>
      <c r="F351" s="71">
        <v>0.3</v>
      </c>
      <c r="G351" s="51">
        <v>12.24</v>
      </c>
      <c r="H351" s="51">
        <f t="shared" si="30"/>
        <v>3.6719999999999997</v>
      </c>
    </row>
    <row r="352" spans="2:8" x14ac:dyDescent="0.25">
      <c r="B352" s="53" t="s">
        <v>1349</v>
      </c>
      <c r="C352" s="47" t="s">
        <v>1347</v>
      </c>
      <c r="D352" s="69" t="s">
        <v>135</v>
      </c>
      <c r="E352" s="49" t="s">
        <v>159</v>
      </c>
      <c r="F352" s="71">
        <v>3.2000000000000001E-2</v>
      </c>
      <c r="G352" s="51">
        <v>80</v>
      </c>
      <c r="H352" s="51">
        <f t="shared" si="30"/>
        <v>2.56</v>
      </c>
    </row>
    <row r="353" spans="2:8" x14ac:dyDescent="0.25">
      <c r="B353" s="53" t="s">
        <v>1348</v>
      </c>
      <c r="C353" s="47" t="s">
        <v>327</v>
      </c>
      <c r="D353" s="69" t="s">
        <v>168</v>
      </c>
      <c r="E353" s="49" t="s">
        <v>159</v>
      </c>
      <c r="F353" s="71">
        <v>13.5</v>
      </c>
      <c r="G353" s="51">
        <v>0.49</v>
      </c>
      <c r="H353" s="51">
        <f t="shared" si="30"/>
        <v>6.6150000000000002</v>
      </c>
    </row>
    <row r="354" spans="2:8" x14ac:dyDescent="0.25">
      <c r="B354" s="52" t="s">
        <v>130</v>
      </c>
      <c r="C354" s="192" t="s">
        <v>321</v>
      </c>
      <c r="D354" s="192"/>
      <c r="E354" s="192"/>
      <c r="F354" s="192"/>
      <c r="G354" s="192"/>
      <c r="H354" s="192"/>
    </row>
    <row r="357" spans="2:8" ht="15.75" x14ac:dyDescent="0.25">
      <c r="B357" s="220" t="s">
        <v>1153</v>
      </c>
      <c r="C357" s="221"/>
      <c r="D357" s="221"/>
      <c r="E357" s="221"/>
      <c r="F357" s="221"/>
      <c r="G357" s="221"/>
      <c r="H357" s="222"/>
    </row>
    <row r="358" spans="2:8" x14ac:dyDescent="0.25">
      <c r="B358" s="38" t="s">
        <v>121</v>
      </c>
      <c r="C358" s="39" t="s">
        <v>122</v>
      </c>
      <c r="D358" s="38" t="s">
        <v>123</v>
      </c>
      <c r="E358" s="38" t="s">
        <v>124</v>
      </c>
      <c r="F358" s="84" t="s">
        <v>125</v>
      </c>
      <c r="G358" s="40" t="s">
        <v>126</v>
      </c>
      <c r="H358" s="41" t="s">
        <v>127</v>
      </c>
    </row>
    <row r="359" spans="2:8" ht="30" x14ac:dyDescent="0.25">
      <c r="B359" s="42" t="s">
        <v>706</v>
      </c>
      <c r="C359" s="43" t="s">
        <v>1152</v>
      </c>
      <c r="D359" s="44" t="s">
        <v>117</v>
      </c>
      <c r="E359" s="38" t="s">
        <v>128</v>
      </c>
      <c r="F359" s="84"/>
      <c r="G359" s="40"/>
      <c r="H359" s="45">
        <f>SUM(H362:H365)</f>
        <v>77.812999000000005</v>
      </c>
    </row>
    <row r="360" spans="2:8" x14ac:dyDescent="0.25">
      <c r="B360" s="53" t="s">
        <v>666</v>
      </c>
      <c r="C360" s="47" t="s">
        <v>1148</v>
      </c>
      <c r="D360" s="69" t="s">
        <v>138</v>
      </c>
      <c r="E360" s="49" t="s">
        <v>272</v>
      </c>
      <c r="F360" s="71">
        <v>0.33</v>
      </c>
      <c r="G360" s="88">
        <v>8.24</v>
      </c>
      <c r="H360" s="51">
        <f t="shared" ref="H360:H365" si="31">F360*G360</f>
        <v>2.7192000000000003</v>
      </c>
    </row>
    <row r="361" spans="2:8" x14ac:dyDescent="0.25">
      <c r="B361" s="53" t="s">
        <v>656</v>
      </c>
      <c r="C361" s="47" t="s">
        <v>1111</v>
      </c>
      <c r="D361" s="69" t="s">
        <v>138</v>
      </c>
      <c r="E361" s="49" t="s">
        <v>272</v>
      </c>
      <c r="F361" s="71">
        <v>0.16500000000000001</v>
      </c>
      <c r="G361" s="88">
        <v>4.8600000000000003</v>
      </c>
      <c r="H361" s="51">
        <f t="shared" si="31"/>
        <v>0.80190000000000006</v>
      </c>
    </row>
    <row r="362" spans="2:8" x14ac:dyDescent="0.25">
      <c r="B362" s="46"/>
      <c r="C362" s="43" t="s">
        <v>155</v>
      </c>
      <c r="D362" s="61" t="s">
        <v>156</v>
      </c>
      <c r="E362" s="38" t="s">
        <v>139</v>
      </c>
      <c r="F362" s="121">
        <v>1.3</v>
      </c>
      <c r="G362" s="63"/>
      <c r="H362" s="63">
        <f>(SUM(H360:H361))*(1+F362)</f>
        <v>8.0985300000000002</v>
      </c>
    </row>
    <row r="363" spans="2:8" x14ac:dyDescent="0.25">
      <c r="B363" s="53" t="s">
        <v>708</v>
      </c>
      <c r="C363" s="47" t="s">
        <v>1154</v>
      </c>
      <c r="D363" s="69" t="s">
        <v>168</v>
      </c>
      <c r="E363" s="49" t="s">
        <v>159</v>
      </c>
      <c r="F363" s="71">
        <v>0.5</v>
      </c>
      <c r="G363" s="88">
        <v>0.55000000000000004</v>
      </c>
      <c r="H363" s="51">
        <f t="shared" si="31"/>
        <v>0.27500000000000002</v>
      </c>
    </row>
    <row r="364" spans="2:8" x14ac:dyDescent="0.25">
      <c r="B364" s="53" t="s">
        <v>710</v>
      </c>
      <c r="C364" s="47" t="s">
        <v>1155</v>
      </c>
      <c r="D364" s="69" t="s">
        <v>173</v>
      </c>
      <c r="E364" s="49" t="s">
        <v>159</v>
      </c>
      <c r="F364" s="71">
        <v>0.435</v>
      </c>
      <c r="G364" s="51">
        <v>10.07</v>
      </c>
      <c r="H364" s="51">
        <f t="shared" si="31"/>
        <v>4.3804499999999997</v>
      </c>
    </row>
    <row r="365" spans="2:8" ht="30" x14ac:dyDescent="0.25">
      <c r="B365" s="53" t="s">
        <v>712</v>
      </c>
      <c r="C365" s="47" t="s">
        <v>1156</v>
      </c>
      <c r="D365" s="69" t="s">
        <v>135</v>
      </c>
      <c r="E365" s="49" t="s">
        <v>159</v>
      </c>
      <c r="F365" s="71">
        <v>4.3099999999999999E-2</v>
      </c>
      <c r="G365" s="88">
        <v>1509.49</v>
      </c>
      <c r="H365" s="51">
        <f t="shared" si="31"/>
        <v>65.059019000000006</v>
      </c>
    </row>
    <row r="366" spans="2:8" x14ac:dyDescent="0.25">
      <c r="B366" s="52" t="s">
        <v>130</v>
      </c>
      <c r="C366" s="192" t="s">
        <v>232</v>
      </c>
      <c r="D366" s="192"/>
      <c r="E366" s="192"/>
      <c r="F366" s="192"/>
      <c r="G366" s="192"/>
      <c r="H366" s="192"/>
    </row>
    <row r="369" spans="2:8" ht="15.75" x14ac:dyDescent="0.25">
      <c r="B369" s="214" t="s">
        <v>1352</v>
      </c>
      <c r="C369" s="214"/>
      <c r="D369" s="214"/>
      <c r="E369" s="214"/>
      <c r="F369" s="214"/>
      <c r="G369" s="214"/>
      <c r="H369" s="214"/>
    </row>
    <row r="370" spans="2:8" x14ac:dyDescent="0.25">
      <c r="B370" s="38" t="s">
        <v>121</v>
      </c>
      <c r="C370" s="39" t="s">
        <v>122</v>
      </c>
      <c r="D370" s="38" t="s">
        <v>123</v>
      </c>
      <c r="E370" s="38" t="s">
        <v>124</v>
      </c>
      <c r="F370" s="84" t="s">
        <v>125</v>
      </c>
      <c r="G370" s="40" t="s">
        <v>126</v>
      </c>
      <c r="H370" s="41" t="s">
        <v>127</v>
      </c>
    </row>
    <row r="371" spans="2:8" ht="30" x14ac:dyDescent="0.25">
      <c r="B371" s="42" t="s">
        <v>714</v>
      </c>
      <c r="C371" s="43" t="s">
        <v>1157</v>
      </c>
      <c r="D371" s="44" t="s">
        <v>117</v>
      </c>
      <c r="E371" s="38" t="s">
        <v>128</v>
      </c>
      <c r="F371" s="84"/>
      <c r="G371" s="40"/>
      <c r="H371" s="45">
        <f>SUM(H374:H377)</f>
        <v>91.564874000000003</v>
      </c>
    </row>
    <row r="372" spans="2:8" x14ac:dyDescent="0.25">
      <c r="B372" s="53" t="s">
        <v>666</v>
      </c>
      <c r="C372" s="47" t="s">
        <v>1148</v>
      </c>
      <c r="D372" s="69" t="s">
        <v>138</v>
      </c>
      <c r="E372" s="49" t="s">
        <v>272</v>
      </c>
      <c r="F372" s="73">
        <v>0.63</v>
      </c>
      <c r="G372" s="88">
        <v>8.24</v>
      </c>
      <c r="H372" s="51">
        <f t="shared" ref="H372:H377" si="32">F372*G372</f>
        <v>5.1912000000000003</v>
      </c>
    </row>
    <row r="373" spans="2:8" x14ac:dyDescent="0.25">
      <c r="B373" s="53" t="s">
        <v>656</v>
      </c>
      <c r="C373" s="47" t="s">
        <v>1111</v>
      </c>
      <c r="D373" s="69" t="s">
        <v>138</v>
      </c>
      <c r="E373" s="49" t="s">
        <v>272</v>
      </c>
      <c r="F373" s="73">
        <v>0.315</v>
      </c>
      <c r="G373" s="88">
        <v>4.8600000000000003</v>
      </c>
      <c r="H373" s="51">
        <f t="shared" si="32"/>
        <v>1.5309000000000001</v>
      </c>
    </row>
    <row r="374" spans="2:8" x14ac:dyDescent="0.25">
      <c r="B374" s="46"/>
      <c r="C374" s="43" t="s">
        <v>155</v>
      </c>
      <c r="D374" s="61" t="s">
        <v>156</v>
      </c>
      <c r="E374" s="38" t="s">
        <v>139</v>
      </c>
      <c r="F374" s="121">
        <v>1.3</v>
      </c>
      <c r="G374" s="51"/>
      <c r="H374" s="63">
        <f>(SUM(H372:H373))*(1+F374)</f>
        <v>15.46083</v>
      </c>
    </row>
    <row r="375" spans="2:8" x14ac:dyDescent="0.25">
      <c r="B375" s="53" t="s">
        <v>708</v>
      </c>
      <c r="C375" s="47" t="s">
        <v>1158</v>
      </c>
      <c r="D375" s="69" t="s">
        <v>168</v>
      </c>
      <c r="E375" s="49" t="s">
        <v>159</v>
      </c>
      <c r="F375" s="73">
        <v>0.5</v>
      </c>
      <c r="G375" s="88">
        <v>0.55000000000000004</v>
      </c>
      <c r="H375" s="51">
        <f t="shared" si="32"/>
        <v>0.27500000000000002</v>
      </c>
    </row>
    <row r="376" spans="2:8" x14ac:dyDescent="0.25">
      <c r="B376" s="53" t="s">
        <v>710</v>
      </c>
      <c r="C376" s="47" t="s">
        <v>1155</v>
      </c>
      <c r="D376" s="69" t="s">
        <v>173</v>
      </c>
      <c r="E376" s="49" t="s">
        <v>159</v>
      </c>
      <c r="F376" s="73">
        <v>0.435</v>
      </c>
      <c r="G376" s="88">
        <v>10.07</v>
      </c>
      <c r="H376" s="51">
        <f t="shared" si="32"/>
        <v>4.3804499999999997</v>
      </c>
    </row>
    <row r="377" spans="2:8" x14ac:dyDescent="0.25">
      <c r="B377" s="53" t="s">
        <v>716</v>
      </c>
      <c r="C377" s="47" t="s">
        <v>1159</v>
      </c>
      <c r="D377" s="69" t="s">
        <v>135</v>
      </c>
      <c r="E377" s="49" t="s">
        <v>159</v>
      </c>
      <c r="F377" s="73">
        <v>4.3099999999999999E-2</v>
      </c>
      <c r="G377" s="88">
        <v>1657.74</v>
      </c>
      <c r="H377" s="51">
        <f t="shared" si="32"/>
        <v>71.448594</v>
      </c>
    </row>
    <row r="378" spans="2:8" x14ac:dyDescent="0.25">
      <c r="B378" s="52" t="s">
        <v>130</v>
      </c>
      <c r="C378" s="192" t="s">
        <v>232</v>
      </c>
      <c r="D378" s="192"/>
      <c r="E378" s="192"/>
      <c r="F378" s="192"/>
      <c r="G378" s="192"/>
      <c r="H378" s="192"/>
    </row>
    <row r="381" spans="2:8" ht="15.75" x14ac:dyDescent="0.25">
      <c r="B381" s="214" t="s">
        <v>1355</v>
      </c>
      <c r="C381" s="214"/>
      <c r="D381" s="214"/>
      <c r="E381" s="214"/>
      <c r="F381" s="214"/>
      <c r="G381" s="214"/>
      <c r="H381" s="214"/>
    </row>
    <row r="382" spans="2:8" x14ac:dyDescent="0.25">
      <c r="B382" s="38" t="s">
        <v>121</v>
      </c>
      <c r="C382" s="39" t="s">
        <v>122</v>
      </c>
      <c r="D382" s="38" t="s">
        <v>123</v>
      </c>
      <c r="E382" s="38" t="s">
        <v>124</v>
      </c>
      <c r="F382" s="84" t="s">
        <v>125</v>
      </c>
      <c r="G382" s="40" t="s">
        <v>126</v>
      </c>
      <c r="H382" s="41" t="s">
        <v>127</v>
      </c>
    </row>
    <row r="383" spans="2:8" ht="45" x14ac:dyDescent="0.25">
      <c r="B383" s="42" t="s">
        <v>1354</v>
      </c>
      <c r="C383" s="43" t="s">
        <v>1353</v>
      </c>
      <c r="D383" s="44" t="s">
        <v>117</v>
      </c>
      <c r="E383" s="38" t="s">
        <v>128</v>
      </c>
      <c r="F383" s="84"/>
      <c r="G383" s="40"/>
      <c r="H383" s="45">
        <f>SUM(H386:H389)</f>
        <v>94.179599999999994</v>
      </c>
    </row>
    <row r="384" spans="2:8" x14ac:dyDescent="0.25">
      <c r="B384" s="53" t="s">
        <v>666</v>
      </c>
      <c r="C384" s="47" t="s">
        <v>1148</v>
      </c>
      <c r="D384" s="69" t="s">
        <v>138</v>
      </c>
      <c r="E384" s="49" t="s">
        <v>272</v>
      </c>
      <c r="F384" s="71">
        <v>0.55000000000000004</v>
      </c>
      <c r="G384" s="88">
        <v>8.24</v>
      </c>
      <c r="H384" s="51">
        <f t="shared" ref="H384:H389" si="33">F384*G384</f>
        <v>4.5320000000000009</v>
      </c>
    </row>
    <row r="385" spans="2:8" x14ac:dyDescent="0.25">
      <c r="B385" s="53" t="s">
        <v>656</v>
      </c>
      <c r="C385" s="47" t="s">
        <v>1111</v>
      </c>
      <c r="D385" s="69" t="s">
        <v>138</v>
      </c>
      <c r="E385" s="49" t="s">
        <v>272</v>
      </c>
      <c r="F385" s="71">
        <v>0.45</v>
      </c>
      <c r="G385" s="88">
        <v>4.8600000000000003</v>
      </c>
      <c r="H385" s="51">
        <f t="shared" si="33"/>
        <v>2.1870000000000003</v>
      </c>
    </row>
    <row r="386" spans="2:8" x14ac:dyDescent="0.25">
      <c r="B386" s="46"/>
      <c r="C386" s="43" t="s">
        <v>155</v>
      </c>
      <c r="D386" s="61" t="s">
        <v>156</v>
      </c>
      <c r="E386" s="38" t="s">
        <v>139</v>
      </c>
      <c r="F386" s="121">
        <v>1.3</v>
      </c>
      <c r="G386" s="51"/>
      <c r="H386" s="63">
        <f>(SUM(H384:H385))*(1+F386)</f>
        <v>15.453700000000001</v>
      </c>
    </row>
    <row r="387" spans="2:8" x14ac:dyDescent="0.25">
      <c r="B387" s="53" t="s">
        <v>1358</v>
      </c>
      <c r="C387" s="47" t="s">
        <v>1357</v>
      </c>
      <c r="D387" s="69" t="s">
        <v>117</v>
      </c>
      <c r="E387" s="49" t="s">
        <v>159</v>
      </c>
      <c r="F387" s="128">
        <v>1.05</v>
      </c>
      <c r="G387" s="88">
        <v>66.06</v>
      </c>
      <c r="H387" s="51">
        <f t="shared" si="33"/>
        <v>69.363</v>
      </c>
    </row>
    <row r="388" spans="2:8" x14ac:dyDescent="0.25">
      <c r="B388" s="53" t="s">
        <v>1361</v>
      </c>
      <c r="C388" s="47" t="s">
        <v>1360</v>
      </c>
      <c r="D388" s="69" t="s">
        <v>168</v>
      </c>
      <c r="E388" s="49" t="s">
        <v>159</v>
      </c>
      <c r="F388" s="71">
        <v>4</v>
      </c>
      <c r="G388" s="88">
        <v>1.34</v>
      </c>
      <c r="H388" s="51">
        <f t="shared" ref="H388" si="34">F388*G388</f>
        <v>5.36</v>
      </c>
    </row>
    <row r="389" spans="2:8" ht="30" x14ac:dyDescent="0.25">
      <c r="B389" s="53" t="s">
        <v>1362</v>
      </c>
      <c r="C389" s="47" t="s">
        <v>1359</v>
      </c>
      <c r="D389" s="69" t="s">
        <v>168</v>
      </c>
      <c r="E389" s="49" t="s">
        <v>159</v>
      </c>
      <c r="F389" s="71">
        <v>0.11</v>
      </c>
      <c r="G389" s="88">
        <v>36.39</v>
      </c>
      <c r="H389" s="51">
        <f t="shared" si="33"/>
        <v>4.0029000000000003</v>
      </c>
    </row>
    <row r="390" spans="2:8" x14ac:dyDescent="0.25">
      <c r="B390" s="52" t="s">
        <v>130</v>
      </c>
      <c r="C390" s="192" t="s">
        <v>131</v>
      </c>
      <c r="D390" s="192"/>
      <c r="E390" s="192"/>
      <c r="F390" s="192"/>
      <c r="G390" s="192"/>
      <c r="H390" s="192"/>
    </row>
    <row r="393" spans="2:8" ht="15.75" x14ac:dyDescent="0.25">
      <c r="B393" s="219" t="s">
        <v>346</v>
      </c>
      <c r="C393" s="219"/>
      <c r="D393" s="219"/>
      <c r="E393" s="219"/>
      <c r="F393" s="219"/>
      <c r="G393" s="219"/>
      <c r="H393" s="219"/>
    </row>
    <row r="394" spans="2:8" x14ac:dyDescent="0.25">
      <c r="B394" s="38" t="s">
        <v>121</v>
      </c>
      <c r="C394" s="39" t="s">
        <v>122</v>
      </c>
      <c r="D394" s="38" t="s">
        <v>123</v>
      </c>
      <c r="E394" s="38" t="s">
        <v>124</v>
      </c>
      <c r="F394" s="84" t="s">
        <v>125</v>
      </c>
      <c r="G394" s="40" t="s">
        <v>126</v>
      </c>
      <c r="H394" s="41" t="s">
        <v>127</v>
      </c>
    </row>
    <row r="395" spans="2:8" x14ac:dyDescent="0.25">
      <c r="B395" s="42" t="s">
        <v>718</v>
      </c>
      <c r="C395" s="43" t="s">
        <v>719</v>
      </c>
      <c r="D395" s="44" t="s">
        <v>143</v>
      </c>
      <c r="E395" s="38" t="s">
        <v>128</v>
      </c>
      <c r="F395" s="84"/>
      <c r="G395" s="40"/>
      <c r="H395" s="45">
        <f>SUM(H398:H401)</f>
        <v>34.831747999999997</v>
      </c>
    </row>
    <row r="396" spans="2:8" x14ac:dyDescent="0.25">
      <c r="B396" s="53" t="s">
        <v>720</v>
      </c>
      <c r="C396" s="47" t="s">
        <v>1160</v>
      </c>
      <c r="D396" s="69" t="s">
        <v>138</v>
      </c>
      <c r="E396" s="49" t="s">
        <v>272</v>
      </c>
      <c r="F396" s="71">
        <v>0.29899999999999999</v>
      </c>
      <c r="G396" s="88">
        <v>8.24</v>
      </c>
      <c r="H396" s="51">
        <f t="shared" ref="H396:H401" si="35">F396*G396</f>
        <v>2.4637600000000002</v>
      </c>
    </row>
    <row r="397" spans="2:8" x14ac:dyDescent="0.25">
      <c r="B397" s="53" t="s">
        <v>656</v>
      </c>
      <c r="C397" s="47" t="s">
        <v>1111</v>
      </c>
      <c r="D397" s="69" t="s">
        <v>138</v>
      </c>
      <c r="E397" s="49" t="s">
        <v>272</v>
      </c>
      <c r="F397" s="71">
        <v>0.15</v>
      </c>
      <c r="G397" s="88">
        <v>4.8600000000000003</v>
      </c>
      <c r="H397" s="51">
        <f t="shared" si="35"/>
        <v>0.72899999999999998</v>
      </c>
    </row>
    <row r="398" spans="2:8" x14ac:dyDescent="0.25">
      <c r="B398" s="46"/>
      <c r="C398" s="43" t="s">
        <v>155</v>
      </c>
      <c r="D398" s="61" t="s">
        <v>156</v>
      </c>
      <c r="E398" s="38" t="s">
        <v>139</v>
      </c>
      <c r="F398" s="121">
        <v>1.3</v>
      </c>
      <c r="G398" s="51"/>
      <c r="H398" s="63">
        <f>(SUM(H396:H397))*(1+F398)</f>
        <v>7.3433479999999998</v>
      </c>
    </row>
    <row r="399" spans="2:8" x14ac:dyDescent="0.25">
      <c r="B399" s="53" t="s">
        <v>721</v>
      </c>
      <c r="C399" s="47" t="s">
        <v>1161</v>
      </c>
      <c r="D399" s="69" t="s">
        <v>143</v>
      </c>
      <c r="E399" s="49" t="s">
        <v>159</v>
      </c>
      <c r="F399" s="71">
        <v>1.04</v>
      </c>
      <c r="G399" s="88">
        <v>25.08</v>
      </c>
      <c r="H399" s="51">
        <f t="shared" si="35"/>
        <v>26.083199999999998</v>
      </c>
    </row>
    <row r="400" spans="2:8" x14ac:dyDescent="0.25">
      <c r="B400" s="53" t="s">
        <v>723</v>
      </c>
      <c r="C400" s="47" t="s">
        <v>1164</v>
      </c>
      <c r="D400" s="69" t="s">
        <v>168</v>
      </c>
      <c r="E400" s="49" t="s">
        <v>159</v>
      </c>
      <c r="F400" s="71">
        <v>0.60299999999999998</v>
      </c>
      <c r="G400" s="88">
        <v>1.84</v>
      </c>
      <c r="H400" s="51">
        <f t="shared" si="35"/>
        <v>1.1095200000000001</v>
      </c>
    </row>
    <row r="401" spans="2:8" x14ac:dyDescent="0.25">
      <c r="B401" s="53" t="s">
        <v>1163</v>
      </c>
      <c r="C401" s="47" t="s">
        <v>1162</v>
      </c>
      <c r="D401" s="69" t="s">
        <v>168</v>
      </c>
      <c r="E401" s="49" t="s">
        <v>159</v>
      </c>
      <c r="F401" s="71">
        <v>8.4000000000000005E-2</v>
      </c>
      <c r="G401" s="88">
        <v>3.52</v>
      </c>
      <c r="H401" s="51">
        <f t="shared" si="35"/>
        <v>0.29568</v>
      </c>
    </row>
    <row r="402" spans="2:8" x14ac:dyDescent="0.25">
      <c r="B402" s="52" t="s">
        <v>130</v>
      </c>
      <c r="C402" s="192" t="s">
        <v>232</v>
      </c>
      <c r="D402" s="192"/>
      <c r="E402" s="192"/>
      <c r="F402" s="192"/>
      <c r="G402" s="192"/>
      <c r="H402" s="192"/>
    </row>
    <row r="403" spans="2:8" x14ac:dyDescent="0.25">
      <c r="B403" s="75"/>
      <c r="C403" s="76"/>
      <c r="D403" s="76"/>
      <c r="E403" s="76"/>
      <c r="F403" s="124"/>
      <c r="G403" s="76"/>
      <c r="H403" s="76"/>
    </row>
    <row r="405" spans="2:8" ht="15.75" x14ac:dyDescent="0.25">
      <c r="B405" s="214" t="s">
        <v>1233</v>
      </c>
      <c r="C405" s="214"/>
      <c r="D405" s="214"/>
      <c r="E405" s="214"/>
      <c r="F405" s="214"/>
      <c r="G405" s="214"/>
      <c r="H405" s="214"/>
    </row>
    <row r="406" spans="2:8" x14ac:dyDescent="0.25">
      <c r="B406" s="38" t="s">
        <v>121</v>
      </c>
      <c r="C406" s="39" t="s">
        <v>122</v>
      </c>
      <c r="D406" s="38" t="s">
        <v>123</v>
      </c>
      <c r="E406" s="38" t="s">
        <v>124</v>
      </c>
      <c r="F406" s="84" t="s">
        <v>125</v>
      </c>
      <c r="G406" s="40" t="s">
        <v>126</v>
      </c>
      <c r="H406" s="41" t="s">
        <v>127</v>
      </c>
    </row>
    <row r="407" spans="2:8" x14ac:dyDescent="0.25">
      <c r="B407" s="42" t="s">
        <v>1231</v>
      </c>
      <c r="C407" s="43" t="s">
        <v>1232</v>
      </c>
      <c r="D407" s="44" t="s">
        <v>143</v>
      </c>
      <c r="E407" s="38" t="s">
        <v>128</v>
      </c>
      <c r="F407" s="84"/>
      <c r="G407" s="40"/>
      <c r="H407" s="45">
        <f>SUM(H410:H412)</f>
        <v>53.221938000000002</v>
      </c>
    </row>
    <row r="408" spans="2:8" x14ac:dyDescent="0.25">
      <c r="B408" s="53" t="s">
        <v>720</v>
      </c>
      <c r="C408" s="47" t="s">
        <v>1160</v>
      </c>
      <c r="D408" s="69" t="s">
        <v>138</v>
      </c>
      <c r="E408" s="49" t="s">
        <v>272</v>
      </c>
      <c r="F408" s="71">
        <v>0.54700000000000004</v>
      </c>
      <c r="G408" s="88">
        <v>8.24</v>
      </c>
      <c r="H408" s="51">
        <f t="shared" ref="H408:H409" si="36">F408*G408</f>
        <v>4.5072800000000006</v>
      </c>
    </row>
    <row r="409" spans="2:8" x14ac:dyDescent="0.25">
      <c r="B409" s="53" t="s">
        <v>656</v>
      </c>
      <c r="C409" s="47" t="s">
        <v>1111</v>
      </c>
      <c r="D409" s="69" t="s">
        <v>138</v>
      </c>
      <c r="E409" s="49" t="s">
        <v>272</v>
      </c>
      <c r="F409" s="71">
        <v>0.27300000000000002</v>
      </c>
      <c r="G409" s="88">
        <v>4.8600000000000003</v>
      </c>
      <c r="H409" s="51">
        <f t="shared" si="36"/>
        <v>1.3267800000000003</v>
      </c>
    </row>
    <row r="410" spans="2:8" x14ac:dyDescent="0.25">
      <c r="B410" s="46"/>
      <c r="C410" s="43" t="s">
        <v>155</v>
      </c>
      <c r="D410" s="61" t="s">
        <v>156</v>
      </c>
      <c r="E410" s="38" t="s">
        <v>139</v>
      </c>
      <c r="F410" s="121">
        <v>1.3</v>
      </c>
      <c r="G410" s="51"/>
      <c r="H410" s="63">
        <f>(SUM(H408:H409))*(1+F410)</f>
        <v>13.418338</v>
      </c>
    </row>
    <row r="411" spans="2:8" ht="30" x14ac:dyDescent="0.25">
      <c r="B411" s="53" t="s">
        <v>350</v>
      </c>
      <c r="C411" s="47" t="s">
        <v>1235</v>
      </c>
      <c r="D411" s="69" t="s">
        <v>143</v>
      </c>
      <c r="E411" s="49" t="s">
        <v>159</v>
      </c>
      <c r="F411" s="71">
        <v>1</v>
      </c>
      <c r="G411" s="88">
        <v>37.43</v>
      </c>
      <c r="H411" s="51">
        <f t="shared" ref="H411:H412" si="37">F411*G411</f>
        <v>37.43</v>
      </c>
    </row>
    <row r="412" spans="2:8" x14ac:dyDescent="0.25">
      <c r="B412" s="53" t="s">
        <v>352</v>
      </c>
      <c r="C412" s="47" t="s">
        <v>1164</v>
      </c>
      <c r="D412" s="69" t="s">
        <v>168</v>
      </c>
      <c r="E412" s="49" t="s">
        <v>159</v>
      </c>
      <c r="F412" s="71">
        <v>1.29</v>
      </c>
      <c r="G412" s="88">
        <v>1.84</v>
      </c>
      <c r="H412" s="51">
        <f t="shared" si="37"/>
        <v>2.3736000000000002</v>
      </c>
    </row>
    <row r="413" spans="2:8" x14ac:dyDescent="0.25">
      <c r="B413" s="52" t="s">
        <v>130</v>
      </c>
      <c r="C413" s="192" t="s">
        <v>232</v>
      </c>
      <c r="D413" s="192"/>
      <c r="E413" s="192"/>
      <c r="F413" s="192"/>
      <c r="G413" s="192"/>
      <c r="H413" s="192"/>
    </row>
    <row r="414" spans="2:8" x14ac:dyDescent="0.25">
      <c r="B414" s="75"/>
      <c r="C414" s="76"/>
      <c r="D414" s="76"/>
      <c r="E414" s="76"/>
      <c r="F414" s="124"/>
      <c r="G414" s="76"/>
      <c r="H414" s="76"/>
    </row>
    <row r="416" spans="2:8" ht="15.75" x14ac:dyDescent="0.25">
      <c r="B416" s="218" t="s">
        <v>354</v>
      </c>
      <c r="C416" s="214"/>
      <c r="D416" s="214"/>
      <c r="E416" s="214"/>
      <c r="F416" s="214"/>
      <c r="G416" s="214"/>
      <c r="H416" s="214"/>
    </row>
    <row r="417" spans="2:8" x14ac:dyDescent="0.25">
      <c r="B417" s="38" t="s">
        <v>121</v>
      </c>
      <c r="C417" s="39" t="s">
        <v>122</v>
      </c>
      <c r="D417" s="38" t="s">
        <v>123</v>
      </c>
      <c r="E417" s="38" t="s">
        <v>124</v>
      </c>
      <c r="F417" s="84" t="s">
        <v>125</v>
      </c>
      <c r="G417" s="40" t="s">
        <v>126</v>
      </c>
      <c r="H417" s="41" t="s">
        <v>127</v>
      </c>
    </row>
    <row r="418" spans="2:8" x14ac:dyDescent="0.25">
      <c r="B418" s="42" t="s">
        <v>727</v>
      </c>
      <c r="C418" s="43" t="s">
        <v>728</v>
      </c>
      <c r="D418" s="44" t="s">
        <v>143</v>
      </c>
      <c r="E418" s="38" t="s">
        <v>128</v>
      </c>
      <c r="F418" s="84"/>
      <c r="G418" s="40"/>
      <c r="H418" s="45">
        <f>SUM(H421:H423)</f>
        <v>13.807319999999999</v>
      </c>
    </row>
    <row r="419" spans="2:8" x14ac:dyDescent="0.25">
      <c r="B419" s="53" t="s">
        <v>666</v>
      </c>
      <c r="C419" s="47" t="s">
        <v>1148</v>
      </c>
      <c r="D419" s="69" t="s">
        <v>138</v>
      </c>
      <c r="E419" s="49" t="s">
        <v>272</v>
      </c>
      <c r="F419" s="71">
        <v>0.3</v>
      </c>
      <c r="G419" s="88">
        <v>8.24</v>
      </c>
      <c r="H419" s="51">
        <f t="shared" ref="H419:H423" si="38">F419*G419</f>
        <v>2.472</v>
      </c>
    </row>
    <row r="420" spans="2:8" x14ac:dyDescent="0.25">
      <c r="B420" s="53" t="s">
        <v>656</v>
      </c>
      <c r="C420" s="47" t="s">
        <v>1111</v>
      </c>
      <c r="D420" s="69" t="s">
        <v>138</v>
      </c>
      <c r="E420" s="49" t="s">
        <v>272</v>
      </c>
      <c r="F420" s="71">
        <v>0.3</v>
      </c>
      <c r="G420" s="88">
        <v>4.8600000000000003</v>
      </c>
      <c r="H420" s="51">
        <f t="shared" si="38"/>
        <v>1.458</v>
      </c>
    </row>
    <row r="421" spans="2:8" x14ac:dyDescent="0.25">
      <c r="B421" s="46"/>
      <c r="C421" s="43" t="s">
        <v>155</v>
      </c>
      <c r="D421" s="61" t="s">
        <v>156</v>
      </c>
      <c r="E421" s="38" t="s">
        <v>139</v>
      </c>
      <c r="F421" s="121">
        <v>1.3</v>
      </c>
      <c r="G421" s="51"/>
      <c r="H421" s="63">
        <f>(SUM(H419:H420))*(1+F421)</f>
        <v>9.0389999999999979</v>
      </c>
    </row>
    <row r="422" spans="2:8" x14ac:dyDescent="0.25">
      <c r="B422" s="53" t="s">
        <v>729</v>
      </c>
      <c r="C422" s="47" t="s">
        <v>730</v>
      </c>
      <c r="D422" s="69" t="s">
        <v>143</v>
      </c>
      <c r="E422" s="49" t="s">
        <v>159</v>
      </c>
      <c r="F422" s="71">
        <v>1.05</v>
      </c>
      <c r="G422" s="88">
        <v>4.34</v>
      </c>
      <c r="H422" s="51">
        <f t="shared" si="38"/>
        <v>4.5570000000000004</v>
      </c>
    </row>
    <row r="423" spans="2:8" ht="30" x14ac:dyDescent="0.25">
      <c r="B423" s="53" t="s">
        <v>731</v>
      </c>
      <c r="C423" s="47" t="s">
        <v>732</v>
      </c>
      <c r="D423" s="69" t="s">
        <v>135</v>
      </c>
      <c r="E423" s="49" t="s">
        <v>159</v>
      </c>
      <c r="F423" s="71">
        <v>5.9999999999999995E-4</v>
      </c>
      <c r="G423" s="88">
        <v>352.2</v>
      </c>
      <c r="H423" s="51">
        <f t="shared" si="38"/>
        <v>0.21131999999999998</v>
      </c>
    </row>
    <row r="424" spans="2:8" x14ac:dyDescent="0.25">
      <c r="B424" s="52" t="s">
        <v>130</v>
      </c>
      <c r="C424" s="192" t="s">
        <v>321</v>
      </c>
      <c r="D424" s="192"/>
      <c r="E424" s="192"/>
      <c r="F424" s="192"/>
      <c r="G424" s="192"/>
      <c r="H424" s="192"/>
    </row>
    <row r="427" spans="2:8" ht="15.75" x14ac:dyDescent="0.25">
      <c r="B427" s="214" t="s">
        <v>1240</v>
      </c>
      <c r="C427" s="214"/>
      <c r="D427" s="214"/>
      <c r="E427" s="214"/>
      <c r="F427" s="214"/>
      <c r="G427" s="214"/>
      <c r="H427" s="214"/>
    </row>
    <row r="428" spans="2:8" x14ac:dyDescent="0.25">
      <c r="B428" s="38" t="s">
        <v>121</v>
      </c>
      <c r="C428" s="39" t="s">
        <v>122</v>
      </c>
      <c r="D428" s="38" t="s">
        <v>123</v>
      </c>
      <c r="E428" s="38" t="s">
        <v>124</v>
      </c>
      <c r="F428" s="84" t="s">
        <v>125</v>
      </c>
      <c r="G428" s="40" t="s">
        <v>126</v>
      </c>
      <c r="H428" s="41" t="s">
        <v>127</v>
      </c>
    </row>
    <row r="429" spans="2:8" ht="30" x14ac:dyDescent="0.25">
      <c r="B429" s="42" t="s">
        <v>1237</v>
      </c>
      <c r="C429" s="43" t="s">
        <v>1236</v>
      </c>
      <c r="D429" s="44" t="s">
        <v>143</v>
      </c>
      <c r="E429" s="38" t="s">
        <v>128</v>
      </c>
      <c r="F429" s="84"/>
      <c r="G429" s="40"/>
      <c r="H429" s="45">
        <f>SUM(H432:H434)</f>
        <v>61.955289999999998</v>
      </c>
    </row>
    <row r="430" spans="2:8" x14ac:dyDescent="0.25">
      <c r="B430" s="53" t="s">
        <v>720</v>
      </c>
      <c r="C430" s="47" t="s">
        <v>1160</v>
      </c>
      <c r="D430" s="69" t="s">
        <v>138</v>
      </c>
      <c r="E430" s="49" t="s">
        <v>272</v>
      </c>
      <c r="F430" s="71">
        <v>0.4</v>
      </c>
      <c r="G430" s="88">
        <v>8.24</v>
      </c>
      <c r="H430" s="51">
        <f t="shared" ref="H430" si="39">F430*G430</f>
        <v>3.2960000000000003</v>
      </c>
    </row>
    <row r="431" spans="2:8" x14ac:dyDescent="0.25">
      <c r="B431" s="53" t="s">
        <v>656</v>
      </c>
      <c r="C431" s="47" t="s">
        <v>1111</v>
      </c>
      <c r="D431" s="69" t="s">
        <v>138</v>
      </c>
      <c r="E431" s="49" t="s">
        <v>272</v>
      </c>
      <c r="F431" s="71">
        <v>0.4</v>
      </c>
      <c r="G431" s="88">
        <v>4.8600000000000003</v>
      </c>
      <c r="H431" s="51">
        <f t="shared" ref="H431:H434" si="40">F431*G431</f>
        <v>1.9440000000000002</v>
      </c>
    </row>
    <row r="432" spans="2:8" x14ac:dyDescent="0.25">
      <c r="B432" s="46"/>
      <c r="C432" s="43" t="s">
        <v>155</v>
      </c>
      <c r="D432" s="61" t="s">
        <v>156</v>
      </c>
      <c r="E432" s="38" t="s">
        <v>139</v>
      </c>
      <c r="F432" s="121">
        <v>1.3</v>
      </c>
      <c r="G432" s="51"/>
      <c r="H432" s="63">
        <f>SUM(H430:H431)*(1+F432)</f>
        <v>12.052</v>
      </c>
    </row>
    <row r="433" spans="2:8" ht="27.75" customHeight="1" x14ac:dyDescent="0.25">
      <c r="B433" s="53" t="s">
        <v>1242</v>
      </c>
      <c r="C433" s="47" t="s">
        <v>1239</v>
      </c>
      <c r="D433" s="69" t="s">
        <v>168</v>
      </c>
      <c r="E433" s="49" t="s">
        <v>159</v>
      </c>
      <c r="F433" s="71">
        <v>3.0000000000000001E-3</v>
      </c>
      <c r="G433" s="88">
        <v>444.43</v>
      </c>
      <c r="H433" s="51">
        <f t="shared" si="40"/>
        <v>1.3332900000000001</v>
      </c>
    </row>
    <row r="434" spans="2:8" ht="26.25" customHeight="1" x14ac:dyDescent="0.25">
      <c r="B434" s="53" t="s">
        <v>1243</v>
      </c>
      <c r="C434" s="47" t="s">
        <v>1238</v>
      </c>
      <c r="D434" s="69" t="s">
        <v>143</v>
      </c>
      <c r="E434" s="49" t="s">
        <v>159</v>
      </c>
      <c r="F434" s="71">
        <v>1</v>
      </c>
      <c r="G434" s="88">
        <v>48.57</v>
      </c>
      <c r="H434" s="51">
        <f t="shared" si="40"/>
        <v>48.57</v>
      </c>
    </row>
    <row r="435" spans="2:8" x14ac:dyDescent="0.25">
      <c r="B435" s="52" t="s">
        <v>130</v>
      </c>
      <c r="C435" s="192" t="s">
        <v>232</v>
      </c>
      <c r="D435" s="192"/>
      <c r="E435" s="192"/>
      <c r="F435" s="192"/>
      <c r="G435" s="192"/>
      <c r="H435" s="192"/>
    </row>
    <row r="438" spans="2:8" ht="15.75" x14ac:dyDescent="0.25">
      <c r="B438" s="214" t="s">
        <v>1249</v>
      </c>
      <c r="C438" s="214"/>
      <c r="D438" s="214"/>
      <c r="E438" s="214"/>
      <c r="F438" s="214"/>
      <c r="G438" s="214"/>
      <c r="H438" s="214"/>
    </row>
    <row r="439" spans="2:8" x14ac:dyDescent="0.25">
      <c r="B439" s="38" t="s">
        <v>121</v>
      </c>
      <c r="C439" s="39" t="s">
        <v>122</v>
      </c>
      <c r="D439" s="38" t="s">
        <v>123</v>
      </c>
      <c r="E439" s="38" t="s">
        <v>124</v>
      </c>
      <c r="F439" s="84" t="s">
        <v>125</v>
      </c>
      <c r="G439" s="40" t="s">
        <v>126</v>
      </c>
      <c r="H439" s="41" t="s">
        <v>127</v>
      </c>
    </row>
    <row r="440" spans="2:8" x14ac:dyDescent="0.25">
      <c r="B440" s="42">
        <v>88497</v>
      </c>
      <c r="C440" s="43" t="s">
        <v>1245</v>
      </c>
      <c r="D440" s="44" t="s">
        <v>117</v>
      </c>
      <c r="E440" s="38" t="s">
        <v>128</v>
      </c>
      <c r="F440" s="84"/>
      <c r="G440" s="40"/>
      <c r="H440" s="45">
        <f>SUM(H443:H445)</f>
        <v>9.8448409999999988</v>
      </c>
    </row>
    <row r="441" spans="2:8" x14ac:dyDescent="0.25">
      <c r="B441" s="53" t="s">
        <v>1367</v>
      </c>
      <c r="C441" s="47" t="s">
        <v>1111</v>
      </c>
      <c r="D441" s="69" t="s">
        <v>138</v>
      </c>
      <c r="E441" s="49" t="s">
        <v>272</v>
      </c>
      <c r="F441" s="71">
        <v>0.114</v>
      </c>
      <c r="G441" s="88">
        <v>4.8600000000000003</v>
      </c>
      <c r="H441" s="51">
        <f t="shared" ref="H441:H445" si="41">F441*G441</f>
        <v>0.55404000000000009</v>
      </c>
    </row>
    <row r="442" spans="2:8" x14ac:dyDescent="0.25">
      <c r="B442" s="53" t="s">
        <v>1368</v>
      </c>
      <c r="C442" s="47" t="s">
        <v>1244</v>
      </c>
      <c r="D442" s="69" t="s">
        <v>138</v>
      </c>
      <c r="E442" s="49" t="s">
        <v>272</v>
      </c>
      <c r="F442" s="71">
        <v>0.312</v>
      </c>
      <c r="G442" s="88">
        <v>8.24</v>
      </c>
      <c r="H442" s="51">
        <f t="shared" si="41"/>
        <v>2.5708800000000003</v>
      </c>
    </row>
    <row r="443" spans="2:8" x14ac:dyDescent="0.25">
      <c r="B443" s="46"/>
      <c r="C443" s="43" t="s">
        <v>155</v>
      </c>
      <c r="D443" s="61" t="s">
        <v>156</v>
      </c>
      <c r="E443" s="38" t="s">
        <v>139</v>
      </c>
      <c r="F443" s="121">
        <v>1.3</v>
      </c>
      <c r="G443" s="51"/>
      <c r="H443" s="63">
        <f>(SUM(H441:H442))*(1+F443)</f>
        <v>7.187316</v>
      </c>
    </row>
    <row r="444" spans="2:8" x14ac:dyDescent="0.25">
      <c r="B444" s="53" t="s">
        <v>1369</v>
      </c>
      <c r="C444" s="47" t="s">
        <v>1247</v>
      </c>
      <c r="D444" s="69" t="s">
        <v>1248</v>
      </c>
      <c r="E444" s="49" t="s">
        <v>159</v>
      </c>
      <c r="F444" s="93">
        <v>4.8899999999999999E-2</v>
      </c>
      <c r="G444" s="93">
        <v>54.25</v>
      </c>
      <c r="H444" s="51">
        <f t="shared" si="41"/>
        <v>2.652825</v>
      </c>
    </row>
    <row r="445" spans="2:8" x14ac:dyDescent="0.25">
      <c r="B445" s="53" t="s">
        <v>1370</v>
      </c>
      <c r="C445" s="47" t="s">
        <v>1246</v>
      </c>
      <c r="D445" s="69" t="s">
        <v>123</v>
      </c>
      <c r="E445" s="49" t="s">
        <v>159</v>
      </c>
      <c r="F445" s="88">
        <v>0.01</v>
      </c>
      <c r="G445" s="88">
        <v>0.47</v>
      </c>
      <c r="H445" s="51">
        <f t="shared" si="41"/>
        <v>4.7000000000000002E-3</v>
      </c>
    </row>
    <row r="446" spans="2:8" x14ac:dyDescent="0.25">
      <c r="B446" s="52" t="s">
        <v>130</v>
      </c>
      <c r="C446" s="192" t="s">
        <v>321</v>
      </c>
      <c r="D446" s="192"/>
      <c r="E446" s="192"/>
      <c r="F446" s="192"/>
      <c r="G446" s="192"/>
      <c r="H446" s="192"/>
    </row>
    <row r="447" spans="2:8" ht="17.25" customHeight="1" x14ac:dyDescent="0.25"/>
    <row r="449" spans="2:13" ht="44.25" customHeight="1" x14ac:dyDescent="0.25">
      <c r="B449" s="223" t="s">
        <v>1364</v>
      </c>
      <c r="C449" s="224"/>
      <c r="D449" s="224"/>
      <c r="E449" s="224"/>
      <c r="F449" s="224"/>
      <c r="G449" s="224"/>
      <c r="H449" s="225"/>
    </row>
    <row r="450" spans="2:13" x14ac:dyDescent="0.25">
      <c r="B450" s="38" t="s">
        <v>121</v>
      </c>
      <c r="C450" s="39" t="s">
        <v>122</v>
      </c>
      <c r="D450" s="38" t="s">
        <v>123</v>
      </c>
      <c r="E450" s="38" t="s">
        <v>124</v>
      </c>
      <c r="F450" s="84" t="s">
        <v>125</v>
      </c>
      <c r="G450" s="40" t="s">
        <v>126</v>
      </c>
      <c r="H450" s="41" t="s">
        <v>127</v>
      </c>
    </row>
    <row r="451" spans="2:13" ht="30" x14ac:dyDescent="0.25">
      <c r="B451" s="42" t="s">
        <v>1365</v>
      </c>
      <c r="C451" s="43" t="s">
        <v>1363</v>
      </c>
      <c r="D451" s="44" t="s">
        <v>117</v>
      </c>
      <c r="E451" s="38" t="s">
        <v>128</v>
      </c>
      <c r="F451" s="84"/>
      <c r="G451" s="40"/>
      <c r="H451" s="45">
        <f>SUM(H454:H455)</f>
        <v>13.887376</v>
      </c>
    </row>
    <row r="452" spans="2:13" x14ac:dyDescent="0.25">
      <c r="B452" s="53" t="s">
        <v>1367</v>
      </c>
      <c r="C452" s="47" t="s">
        <v>1111</v>
      </c>
      <c r="D452" s="69" t="s">
        <v>138</v>
      </c>
      <c r="E452" s="49" t="s">
        <v>272</v>
      </c>
      <c r="F452" s="71">
        <v>3.7999999999999999E-2</v>
      </c>
      <c r="G452" s="88">
        <v>4.8600000000000003</v>
      </c>
      <c r="H452" s="51">
        <f t="shared" ref="H452:H455" si="42">F452*G452</f>
        <v>0.18468000000000001</v>
      </c>
      <c r="M452" s="130"/>
    </row>
    <row r="453" spans="2:13" x14ac:dyDescent="0.25">
      <c r="B453" s="53" t="s">
        <v>1368</v>
      </c>
      <c r="C453" s="47" t="s">
        <v>1244</v>
      </c>
      <c r="D453" s="69" t="s">
        <v>138</v>
      </c>
      <c r="E453" s="49" t="s">
        <v>272</v>
      </c>
      <c r="F453" s="71">
        <v>0.151</v>
      </c>
      <c r="G453" s="88">
        <v>8.24</v>
      </c>
      <c r="H453" s="51">
        <f t="shared" si="42"/>
        <v>1.24424</v>
      </c>
    </row>
    <row r="454" spans="2:13" x14ac:dyDescent="0.25">
      <c r="B454" s="46"/>
      <c r="C454" s="43" t="s">
        <v>155</v>
      </c>
      <c r="D454" s="61" t="s">
        <v>156</v>
      </c>
      <c r="E454" s="38" t="s">
        <v>139</v>
      </c>
      <c r="F454" s="121">
        <v>1.3</v>
      </c>
      <c r="G454" s="51"/>
      <c r="H454" s="63">
        <f>(SUM(H452:H453))*(1+F454)</f>
        <v>3.2865159999999998</v>
      </c>
    </row>
    <row r="455" spans="2:13" x14ac:dyDescent="0.25">
      <c r="B455" s="53" t="s">
        <v>1371</v>
      </c>
      <c r="C455" s="47" t="s">
        <v>1366</v>
      </c>
      <c r="D455" s="69" t="s">
        <v>168</v>
      </c>
      <c r="E455" s="49" t="s">
        <v>159</v>
      </c>
      <c r="F455" s="71">
        <v>1.9379999999999999</v>
      </c>
      <c r="G455" s="51">
        <v>5.47</v>
      </c>
      <c r="H455" s="51">
        <f t="shared" si="42"/>
        <v>10.600859999999999</v>
      </c>
    </row>
    <row r="456" spans="2:13" x14ac:dyDescent="0.25">
      <c r="B456" s="52" t="s">
        <v>130</v>
      </c>
      <c r="C456" s="192" t="s">
        <v>232</v>
      </c>
      <c r="D456" s="192"/>
      <c r="E456" s="192"/>
      <c r="F456" s="192"/>
      <c r="G456" s="192"/>
      <c r="H456" s="192"/>
    </row>
    <row r="459" spans="2:13" ht="15.75" x14ac:dyDescent="0.25">
      <c r="B459" s="218" t="s">
        <v>1373</v>
      </c>
      <c r="C459" s="214"/>
      <c r="D459" s="214"/>
      <c r="E459" s="214"/>
      <c r="F459" s="214"/>
      <c r="G459" s="214"/>
      <c r="H459" s="214"/>
    </row>
    <row r="460" spans="2:13" x14ac:dyDescent="0.25">
      <c r="B460" s="38" t="s">
        <v>121</v>
      </c>
      <c r="C460" s="39" t="s">
        <v>122</v>
      </c>
      <c r="D460" s="38" t="s">
        <v>123</v>
      </c>
      <c r="E460" s="38" t="s">
        <v>124</v>
      </c>
      <c r="F460" s="84" t="s">
        <v>125</v>
      </c>
      <c r="G460" s="40" t="s">
        <v>126</v>
      </c>
      <c r="H460" s="41" t="s">
        <v>127</v>
      </c>
    </row>
    <row r="461" spans="2:13" ht="30" x14ac:dyDescent="0.25">
      <c r="B461" s="42" t="s">
        <v>1377</v>
      </c>
      <c r="C461" s="43" t="s">
        <v>1372</v>
      </c>
      <c r="D461" s="44" t="s">
        <v>117</v>
      </c>
      <c r="E461" s="38" t="s">
        <v>128</v>
      </c>
      <c r="F461" s="84"/>
      <c r="G461" s="88"/>
      <c r="H461" s="45">
        <f>SUM(H464:H465)</f>
        <v>8.0724039999999988</v>
      </c>
    </row>
    <row r="462" spans="2:13" x14ac:dyDescent="0.25">
      <c r="B462" s="53" t="s">
        <v>1367</v>
      </c>
      <c r="C462" s="47" t="s">
        <v>1111</v>
      </c>
      <c r="D462" s="69" t="s">
        <v>138</v>
      </c>
      <c r="E462" s="49" t="s">
        <v>272</v>
      </c>
      <c r="F462" s="71">
        <v>4.8000000000000001E-2</v>
      </c>
      <c r="G462" s="88">
        <v>4.8600000000000003</v>
      </c>
      <c r="H462" s="51">
        <f t="shared" ref="H462:H465" si="43">F462*G462</f>
        <v>0.23328000000000002</v>
      </c>
    </row>
    <row r="463" spans="2:13" x14ac:dyDescent="0.25">
      <c r="B463" s="53" t="s">
        <v>1368</v>
      </c>
      <c r="C463" s="47" t="s">
        <v>1244</v>
      </c>
      <c r="D463" s="69" t="s">
        <v>138</v>
      </c>
      <c r="E463" s="49" t="s">
        <v>272</v>
      </c>
      <c r="F463" s="71">
        <v>0.13</v>
      </c>
      <c r="G463" s="88">
        <v>8.24</v>
      </c>
      <c r="H463" s="51">
        <f t="shared" si="43"/>
        <v>1.0712000000000002</v>
      </c>
    </row>
    <row r="464" spans="2:13" x14ac:dyDescent="0.25">
      <c r="B464" s="46"/>
      <c r="C464" s="43" t="s">
        <v>155</v>
      </c>
      <c r="D464" s="61" t="s">
        <v>156</v>
      </c>
      <c r="E464" s="38" t="s">
        <v>139</v>
      </c>
      <c r="F464" s="121">
        <v>1.3</v>
      </c>
      <c r="G464" s="51"/>
      <c r="H464" s="63">
        <f>(SUM(H462:H463))*(1+F464)</f>
        <v>3.0003039999999999</v>
      </c>
    </row>
    <row r="465" spans="2:8" x14ac:dyDescent="0.25">
      <c r="B465" s="53" t="s">
        <v>1376</v>
      </c>
      <c r="C465" s="47" t="s">
        <v>1375</v>
      </c>
      <c r="D465" s="69" t="s">
        <v>173</v>
      </c>
      <c r="E465" s="49" t="s">
        <v>159</v>
      </c>
      <c r="F465" s="71">
        <v>0.33</v>
      </c>
      <c r="G465" s="88">
        <v>15.37</v>
      </c>
      <c r="H465" s="51">
        <f t="shared" si="43"/>
        <v>5.0720999999999998</v>
      </c>
    </row>
    <row r="466" spans="2:8" x14ac:dyDescent="0.25">
      <c r="B466" s="52" t="s">
        <v>130</v>
      </c>
      <c r="C466" s="192" t="s">
        <v>232</v>
      </c>
      <c r="D466" s="192"/>
      <c r="E466" s="192"/>
      <c r="F466" s="192"/>
      <c r="G466" s="192"/>
      <c r="H466" s="192"/>
    </row>
    <row r="469" spans="2:8" ht="15.75" x14ac:dyDescent="0.25">
      <c r="B469" s="219" t="s">
        <v>389</v>
      </c>
      <c r="C469" s="219"/>
      <c r="D469" s="219"/>
      <c r="E469" s="219"/>
      <c r="F469" s="219"/>
      <c r="G469" s="219"/>
      <c r="H469" s="219"/>
    </row>
    <row r="470" spans="2:8" x14ac:dyDescent="0.25">
      <c r="B470" s="38" t="s">
        <v>121</v>
      </c>
      <c r="C470" s="39" t="s">
        <v>122</v>
      </c>
      <c r="D470" s="38" t="s">
        <v>123</v>
      </c>
      <c r="E470" s="38" t="s">
        <v>124</v>
      </c>
      <c r="F470" s="84" t="s">
        <v>125</v>
      </c>
      <c r="G470" s="40" t="s">
        <v>126</v>
      </c>
      <c r="H470" s="41" t="s">
        <v>127</v>
      </c>
    </row>
    <row r="471" spans="2:8" ht="45" x14ac:dyDescent="0.25">
      <c r="B471" s="42" t="s">
        <v>1737</v>
      </c>
      <c r="C471" s="43" t="s">
        <v>1716</v>
      </c>
      <c r="D471" s="44" t="s">
        <v>117</v>
      </c>
      <c r="E471" s="38" t="s">
        <v>128</v>
      </c>
      <c r="F471" s="84"/>
      <c r="G471" s="40"/>
      <c r="H471" s="45">
        <f>SUM(H474:H477)</f>
        <v>33.753399999999999</v>
      </c>
    </row>
    <row r="472" spans="2:8" x14ac:dyDescent="0.25">
      <c r="B472" s="53" t="s">
        <v>701</v>
      </c>
      <c r="C472" s="47" t="s">
        <v>1721</v>
      </c>
      <c r="D472" s="69" t="s">
        <v>138</v>
      </c>
      <c r="E472" s="49" t="s">
        <v>272</v>
      </c>
      <c r="F472" s="73">
        <v>0.49</v>
      </c>
      <c r="G472" s="88">
        <v>8.24</v>
      </c>
      <c r="H472" s="51">
        <f t="shared" ref="H472:H477" si="44">F472*G472</f>
        <v>4.0376000000000003</v>
      </c>
    </row>
    <row r="473" spans="2:8" x14ac:dyDescent="0.25">
      <c r="B473" s="53" t="s">
        <v>702</v>
      </c>
      <c r="C473" s="47" t="s">
        <v>703</v>
      </c>
      <c r="D473" s="69" t="s">
        <v>138</v>
      </c>
      <c r="E473" s="49" t="s">
        <v>272</v>
      </c>
      <c r="F473" s="73">
        <v>0.28999999999999998</v>
      </c>
      <c r="G473" s="88">
        <v>4.8600000000000003</v>
      </c>
      <c r="H473" s="51">
        <f t="shared" si="44"/>
        <v>1.4094</v>
      </c>
    </row>
    <row r="474" spans="2:8" x14ac:dyDescent="0.25">
      <c r="B474" s="46"/>
      <c r="C474" s="43" t="s">
        <v>155</v>
      </c>
      <c r="D474" s="61" t="s">
        <v>156</v>
      </c>
      <c r="E474" s="38" t="s">
        <v>139</v>
      </c>
      <c r="F474" s="121">
        <v>1.3</v>
      </c>
      <c r="G474" s="51"/>
      <c r="H474" s="63">
        <f>(SUM(H472:H473))*(1+F474)</f>
        <v>12.528099999999998</v>
      </c>
    </row>
    <row r="475" spans="2:8" ht="30" x14ac:dyDescent="0.25">
      <c r="B475" s="46" t="s">
        <v>1717</v>
      </c>
      <c r="C475" s="47" t="s">
        <v>1718</v>
      </c>
      <c r="D475" s="61" t="s">
        <v>117</v>
      </c>
      <c r="E475" s="49" t="s">
        <v>159</v>
      </c>
      <c r="F475" s="73">
        <v>1.05</v>
      </c>
      <c r="G475" s="88">
        <v>10.29</v>
      </c>
      <c r="H475" s="51">
        <f t="shared" ref="H475" si="45">F475*G475</f>
        <v>10.804499999999999</v>
      </c>
    </row>
    <row r="476" spans="2:8" x14ac:dyDescent="0.25">
      <c r="B476" s="53" t="s">
        <v>1720</v>
      </c>
      <c r="C476" s="47" t="s">
        <v>1719</v>
      </c>
      <c r="D476" s="69" t="s">
        <v>168</v>
      </c>
      <c r="E476" s="49" t="s">
        <v>159</v>
      </c>
      <c r="F476" s="73">
        <v>0.42</v>
      </c>
      <c r="G476" s="88">
        <v>3.52</v>
      </c>
      <c r="H476" s="51">
        <f t="shared" si="44"/>
        <v>1.4783999999999999</v>
      </c>
    </row>
    <row r="477" spans="2:8" x14ac:dyDescent="0.25">
      <c r="B477" s="53" t="s">
        <v>1738</v>
      </c>
      <c r="C477" s="47" t="s">
        <v>1164</v>
      </c>
      <c r="D477" s="69" t="s">
        <v>168</v>
      </c>
      <c r="E477" s="49" t="s">
        <v>159</v>
      </c>
      <c r="F477" s="73">
        <v>4.8600000000000003</v>
      </c>
      <c r="G477" s="88">
        <v>1.84</v>
      </c>
      <c r="H477" s="51">
        <f t="shared" si="44"/>
        <v>8.942400000000001</v>
      </c>
    </row>
    <row r="478" spans="2:8" x14ac:dyDescent="0.25">
      <c r="B478" s="52" t="s">
        <v>130</v>
      </c>
      <c r="C478" s="192" t="s">
        <v>232</v>
      </c>
      <c r="D478" s="192"/>
      <c r="E478" s="192"/>
      <c r="F478" s="192"/>
      <c r="G478" s="192"/>
      <c r="H478" s="192"/>
    </row>
    <row r="481" spans="2:8" ht="15.75" x14ac:dyDescent="0.25">
      <c r="B481" s="226" t="s">
        <v>1378</v>
      </c>
      <c r="C481" s="226"/>
      <c r="D481" s="226"/>
      <c r="E481" s="226"/>
      <c r="F481" s="226"/>
      <c r="G481" s="226"/>
      <c r="H481" s="226"/>
    </row>
    <row r="482" spans="2:8" x14ac:dyDescent="0.25">
      <c r="B482" s="38" t="s">
        <v>121</v>
      </c>
      <c r="C482" s="39" t="s">
        <v>122</v>
      </c>
      <c r="D482" s="38" t="s">
        <v>123</v>
      </c>
      <c r="E482" s="38" t="s">
        <v>124</v>
      </c>
      <c r="F482" s="84" t="s">
        <v>125</v>
      </c>
      <c r="G482" s="40" t="s">
        <v>126</v>
      </c>
      <c r="H482" s="41" t="s">
        <v>127</v>
      </c>
    </row>
    <row r="483" spans="2:8" ht="30" x14ac:dyDescent="0.25">
      <c r="B483" s="42" t="s">
        <v>1633</v>
      </c>
      <c r="C483" s="43" t="s">
        <v>1629</v>
      </c>
      <c r="D483" s="44" t="s">
        <v>117</v>
      </c>
      <c r="E483" s="38" t="s">
        <v>128</v>
      </c>
      <c r="F483" s="84"/>
      <c r="G483" s="40"/>
      <c r="H483" s="45">
        <f>SUM(H486:H487)</f>
        <v>19.393259999999998</v>
      </c>
    </row>
    <row r="484" spans="2:8" x14ac:dyDescent="0.25">
      <c r="B484" s="53" t="s">
        <v>1265</v>
      </c>
      <c r="C484" s="47" t="s">
        <v>1264</v>
      </c>
      <c r="D484" s="69" t="s">
        <v>138</v>
      </c>
      <c r="E484" s="49" t="s">
        <v>272</v>
      </c>
      <c r="F484" s="71">
        <v>0.6</v>
      </c>
      <c r="G484" s="88">
        <v>8.24</v>
      </c>
      <c r="H484" s="51">
        <f t="shared" ref="H484:H487" si="46">F484*G484</f>
        <v>4.944</v>
      </c>
    </row>
    <row r="485" spans="2:8" x14ac:dyDescent="0.25">
      <c r="B485" s="53" t="s">
        <v>656</v>
      </c>
      <c r="C485" s="47" t="s">
        <v>1111</v>
      </c>
      <c r="D485" s="69" t="s">
        <v>138</v>
      </c>
      <c r="E485" s="49" t="s">
        <v>272</v>
      </c>
      <c r="F485" s="71">
        <v>0.12</v>
      </c>
      <c r="G485" s="88">
        <v>4.8600000000000003</v>
      </c>
      <c r="H485" s="51">
        <f t="shared" si="46"/>
        <v>0.58320000000000005</v>
      </c>
    </row>
    <row r="486" spans="2:8" x14ac:dyDescent="0.25">
      <c r="B486" s="53"/>
      <c r="C486" s="43" t="s">
        <v>155</v>
      </c>
      <c r="D486" s="61" t="s">
        <v>156</v>
      </c>
      <c r="E486" s="38" t="s">
        <v>139</v>
      </c>
      <c r="F486" s="121">
        <v>1.3</v>
      </c>
      <c r="G486" s="51"/>
      <c r="H486" s="63">
        <f>(SUM(H484:H485))*(1+F486)</f>
        <v>12.712559999999998</v>
      </c>
    </row>
    <row r="487" spans="2:8" x14ac:dyDescent="0.25">
      <c r="B487" s="53" t="s">
        <v>1381</v>
      </c>
      <c r="C487" s="47" t="s">
        <v>1267</v>
      </c>
      <c r="D487" s="69" t="s">
        <v>168</v>
      </c>
      <c r="E487" s="49" t="s">
        <v>159</v>
      </c>
      <c r="F487" s="71">
        <v>17.13</v>
      </c>
      <c r="G487" s="88">
        <v>0.39</v>
      </c>
      <c r="H487" s="51">
        <f t="shared" si="46"/>
        <v>6.6806999999999999</v>
      </c>
    </row>
    <row r="488" spans="2:8" x14ac:dyDescent="0.25">
      <c r="B488" s="52" t="s">
        <v>130</v>
      </c>
      <c r="C488" s="192" t="s">
        <v>232</v>
      </c>
      <c r="D488" s="192"/>
      <c r="E488" s="192"/>
      <c r="F488" s="192"/>
      <c r="G488" s="192"/>
      <c r="H488" s="192"/>
    </row>
    <row r="491" spans="2:8" ht="15.75" x14ac:dyDescent="0.25">
      <c r="B491" s="218" t="s">
        <v>1251</v>
      </c>
      <c r="C491" s="214"/>
      <c r="D491" s="214"/>
      <c r="E491" s="214"/>
      <c r="F491" s="214"/>
      <c r="G491" s="214"/>
      <c r="H491" s="214"/>
    </row>
    <row r="492" spans="2:8" x14ac:dyDescent="0.25">
      <c r="B492" s="38" t="s">
        <v>121</v>
      </c>
      <c r="C492" s="39" t="s">
        <v>122</v>
      </c>
      <c r="D492" s="38" t="s">
        <v>123</v>
      </c>
      <c r="E492" s="38" t="s">
        <v>124</v>
      </c>
      <c r="F492" s="84" t="s">
        <v>125</v>
      </c>
      <c r="G492" s="40" t="s">
        <v>126</v>
      </c>
      <c r="H492" s="41" t="s">
        <v>127</v>
      </c>
    </row>
    <row r="493" spans="2:8" x14ac:dyDescent="0.25">
      <c r="B493" s="42" t="s">
        <v>1632</v>
      </c>
      <c r="C493" s="43" t="s">
        <v>1631</v>
      </c>
      <c r="D493" s="44" t="s">
        <v>117</v>
      </c>
      <c r="E493" s="38" t="s">
        <v>128</v>
      </c>
      <c r="F493" s="84"/>
      <c r="G493" s="40"/>
      <c r="H493" s="45">
        <f>SUM(H496:H497)</f>
        <v>8.9869760000000003</v>
      </c>
    </row>
    <row r="494" spans="2:8" x14ac:dyDescent="0.25">
      <c r="B494" s="53" t="s">
        <v>1367</v>
      </c>
      <c r="C494" s="47" t="s">
        <v>1111</v>
      </c>
      <c r="D494" s="69" t="s">
        <v>138</v>
      </c>
      <c r="E494" s="49" t="s">
        <v>272</v>
      </c>
      <c r="F494" s="71">
        <v>6.2E-2</v>
      </c>
      <c r="G494" s="88">
        <v>4.8600000000000003</v>
      </c>
      <c r="H494" s="51">
        <f t="shared" ref="H494:H497" si="47">F494*G494</f>
        <v>0.30132000000000003</v>
      </c>
    </row>
    <row r="495" spans="2:8" x14ac:dyDescent="0.25">
      <c r="B495" s="53" t="s">
        <v>1368</v>
      </c>
      <c r="C495" s="47" t="s">
        <v>1244</v>
      </c>
      <c r="D495" s="69" t="s">
        <v>138</v>
      </c>
      <c r="E495" s="49" t="s">
        <v>272</v>
      </c>
      <c r="F495" s="71">
        <v>0.17</v>
      </c>
      <c r="G495" s="88">
        <v>8.24</v>
      </c>
      <c r="H495" s="51">
        <f t="shared" si="47"/>
        <v>1.4008</v>
      </c>
    </row>
    <row r="496" spans="2:8" x14ac:dyDescent="0.25">
      <c r="B496" s="53"/>
      <c r="C496" s="43" t="s">
        <v>155</v>
      </c>
      <c r="D496" s="61" t="s">
        <v>156</v>
      </c>
      <c r="E496" s="38" t="s">
        <v>139</v>
      </c>
      <c r="F496" s="121">
        <v>1.3</v>
      </c>
      <c r="G496" s="51"/>
      <c r="H496" s="63">
        <f>(SUM(H494:H495))*(1+F496)</f>
        <v>3.914876</v>
      </c>
    </row>
    <row r="497" spans="2:8" x14ac:dyDescent="0.25">
      <c r="B497" s="53" t="s">
        <v>1634</v>
      </c>
      <c r="C497" s="47" t="s">
        <v>1252</v>
      </c>
      <c r="D497" s="69" t="s">
        <v>173</v>
      </c>
      <c r="E497" s="49" t="s">
        <v>159</v>
      </c>
      <c r="F497" s="71">
        <v>0.33</v>
      </c>
      <c r="G497" s="88">
        <v>15.37</v>
      </c>
      <c r="H497" s="51">
        <f t="shared" si="47"/>
        <v>5.0720999999999998</v>
      </c>
    </row>
    <row r="498" spans="2:8" x14ac:dyDescent="0.25">
      <c r="B498" s="52" t="s">
        <v>130</v>
      </c>
      <c r="C498" s="192" t="s">
        <v>232</v>
      </c>
      <c r="D498" s="192"/>
      <c r="E498" s="192"/>
      <c r="F498" s="192"/>
      <c r="G498" s="192"/>
      <c r="H498" s="192"/>
    </row>
    <row r="501" spans="2:8" ht="15.75" x14ac:dyDescent="0.25">
      <c r="B501" s="218" t="s">
        <v>1263</v>
      </c>
      <c r="C501" s="214"/>
      <c r="D501" s="214"/>
      <c r="E501" s="214"/>
      <c r="F501" s="214"/>
      <c r="G501" s="214"/>
      <c r="H501" s="214"/>
    </row>
    <row r="502" spans="2:8" x14ac:dyDescent="0.25">
      <c r="B502" s="38" t="s">
        <v>121</v>
      </c>
      <c r="C502" s="39" t="s">
        <v>122</v>
      </c>
      <c r="D502" s="38" t="s">
        <v>123</v>
      </c>
      <c r="E502" s="38" t="s">
        <v>124</v>
      </c>
      <c r="F502" s="84" t="s">
        <v>125</v>
      </c>
      <c r="G502" s="40" t="s">
        <v>126</v>
      </c>
      <c r="H502" s="41" t="s">
        <v>127</v>
      </c>
    </row>
    <row r="503" spans="2:8" x14ac:dyDescent="0.25">
      <c r="B503" s="42" t="s">
        <v>1395</v>
      </c>
      <c r="C503" s="43" t="s">
        <v>400</v>
      </c>
      <c r="D503" s="44" t="s">
        <v>117</v>
      </c>
      <c r="E503" s="38" t="s">
        <v>128</v>
      </c>
      <c r="F503" s="84"/>
      <c r="G503" s="40"/>
      <c r="H503" s="45">
        <f>SUM(H506:H511)</f>
        <v>30.185755399999998</v>
      </c>
    </row>
    <row r="504" spans="2:8" x14ac:dyDescent="0.25">
      <c r="B504" s="53" t="s">
        <v>656</v>
      </c>
      <c r="C504" s="47" t="s">
        <v>1111</v>
      </c>
      <c r="D504" s="69" t="s">
        <v>138</v>
      </c>
      <c r="E504" s="49" t="s">
        <v>272</v>
      </c>
      <c r="F504" s="71">
        <v>0.3987</v>
      </c>
      <c r="G504" s="88">
        <v>4.8600000000000003</v>
      </c>
      <c r="H504" s="51">
        <f t="shared" ref="H504:H505" si="48">F504*G504</f>
        <v>1.9376820000000001</v>
      </c>
    </row>
    <row r="505" spans="2:8" x14ac:dyDescent="0.25">
      <c r="B505" s="53" t="s">
        <v>1265</v>
      </c>
      <c r="C505" s="47" t="s">
        <v>1264</v>
      </c>
      <c r="D505" s="69" t="s">
        <v>138</v>
      </c>
      <c r="E505" s="49" t="s">
        <v>272</v>
      </c>
      <c r="F505" s="71">
        <v>0.7974</v>
      </c>
      <c r="G505" s="88">
        <v>8.24</v>
      </c>
      <c r="H505" s="51">
        <f t="shared" si="48"/>
        <v>6.570576</v>
      </c>
    </row>
    <row r="506" spans="2:8" x14ac:dyDescent="0.25">
      <c r="B506" s="53"/>
      <c r="C506" s="43" t="s">
        <v>155</v>
      </c>
      <c r="D506" s="61" t="s">
        <v>156</v>
      </c>
      <c r="E506" s="38" t="s">
        <v>139</v>
      </c>
      <c r="F506" s="121">
        <v>1.3</v>
      </c>
      <c r="G506" s="51"/>
      <c r="H506" s="63">
        <f>(SUM(H504:H505))*(1+F506)</f>
        <v>19.568993399999997</v>
      </c>
    </row>
    <row r="507" spans="2:8" x14ac:dyDescent="0.25">
      <c r="B507" s="53">
        <v>345</v>
      </c>
      <c r="C507" s="47" t="s">
        <v>1266</v>
      </c>
      <c r="D507" s="69" t="s">
        <v>64</v>
      </c>
      <c r="E507" s="49" t="s">
        <v>159</v>
      </c>
      <c r="F507" s="71">
        <v>2.5000000000000001E-2</v>
      </c>
      <c r="G507" s="88">
        <v>17.57</v>
      </c>
      <c r="H507" s="51">
        <f t="shared" ref="H507:H510" si="49">F507*G507</f>
        <v>0.43925000000000003</v>
      </c>
    </row>
    <row r="508" spans="2:8" x14ac:dyDescent="0.25">
      <c r="B508" s="53">
        <v>3315</v>
      </c>
      <c r="C508" s="47" t="s">
        <v>1267</v>
      </c>
      <c r="D508" s="69" t="s">
        <v>64</v>
      </c>
      <c r="E508" s="49" t="s">
        <v>159</v>
      </c>
      <c r="F508" s="71">
        <v>0.99639999999999995</v>
      </c>
      <c r="G508" s="88">
        <v>0.39</v>
      </c>
      <c r="H508" s="51">
        <f t="shared" si="49"/>
        <v>0.388596</v>
      </c>
    </row>
    <row r="509" spans="2:8" ht="30" x14ac:dyDescent="0.25">
      <c r="B509" s="53">
        <v>4812</v>
      </c>
      <c r="C509" s="47" t="s">
        <v>1268</v>
      </c>
      <c r="D509" s="69" t="s">
        <v>0</v>
      </c>
      <c r="E509" s="49" t="s">
        <v>159</v>
      </c>
      <c r="F509" s="71">
        <v>1.0293000000000001</v>
      </c>
      <c r="G509" s="51">
        <v>9</v>
      </c>
      <c r="H509" s="51">
        <f t="shared" si="49"/>
        <v>9.2637</v>
      </c>
    </row>
    <row r="510" spans="2:8" x14ac:dyDescent="0.25">
      <c r="B510" s="53">
        <v>20250</v>
      </c>
      <c r="C510" s="47" t="s">
        <v>1269</v>
      </c>
      <c r="D510" s="69" t="s">
        <v>64</v>
      </c>
      <c r="E510" s="49" t="s">
        <v>159</v>
      </c>
      <c r="F510" s="71">
        <v>7.7999999999999996E-3</v>
      </c>
      <c r="G510" s="51">
        <v>10</v>
      </c>
      <c r="H510" s="51">
        <f t="shared" si="49"/>
        <v>7.8E-2</v>
      </c>
    </row>
    <row r="511" spans="2:8" x14ac:dyDescent="0.25">
      <c r="B511" s="53">
        <v>40547</v>
      </c>
      <c r="C511" s="47" t="s">
        <v>1270</v>
      </c>
      <c r="D511" s="69" t="s">
        <v>1271</v>
      </c>
      <c r="E511" s="49" t="s">
        <v>159</v>
      </c>
      <c r="F511" s="71">
        <v>3.0800000000000001E-2</v>
      </c>
      <c r="G511" s="88">
        <v>14.52</v>
      </c>
      <c r="H511" s="51">
        <f t="shared" ref="H511" si="50">F511*G511</f>
        <v>0.447216</v>
      </c>
    </row>
    <row r="512" spans="2:8" x14ac:dyDescent="0.25">
      <c r="B512" s="52" t="s">
        <v>130</v>
      </c>
      <c r="C512" s="192" t="s">
        <v>232</v>
      </c>
      <c r="D512" s="192"/>
      <c r="E512" s="192"/>
      <c r="F512" s="192"/>
      <c r="G512" s="192"/>
      <c r="H512" s="192"/>
    </row>
    <row r="514" spans="2:8" ht="15.75" customHeight="1" x14ac:dyDescent="0.25"/>
    <row r="515" spans="2:8" ht="15.75" x14ac:dyDescent="0.25">
      <c r="B515" s="218" t="s">
        <v>1382</v>
      </c>
      <c r="C515" s="214"/>
      <c r="D515" s="214"/>
      <c r="E515" s="214"/>
      <c r="F515" s="214"/>
      <c r="G515" s="214"/>
      <c r="H515" s="214"/>
    </row>
    <row r="516" spans="2:8" x14ac:dyDescent="0.25">
      <c r="B516" s="38" t="s">
        <v>121</v>
      </c>
      <c r="C516" s="39" t="s">
        <v>122</v>
      </c>
      <c r="D516" s="38" t="s">
        <v>123</v>
      </c>
      <c r="E516" s="38" t="s">
        <v>124</v>
      </c>
      <c r="F516" s="84" t="s">
        <v>125</v>
      </c>
      <c r="G516" s="40" t="s">
        <v>126</v>
      </c>
      <c r="H516" s="41" t="s">
        <v>127</v>
      </c>
    </row>
    <row r="517" spans="2:8" ht="30" x14ac:dyDescent="0.25">
      <c r="B517" s="42" t="s">
        <v>1384</v>
      </c>
      <c r="C517" s="74" t="s">
        <v>1383</v>
      </c>
      <c r="D517" s="44" t="s">
        <v>117</v>
      </c>
      <c r="E517" s="38" t="s">
        <v>128</v>
      </c>
      <c r="F517" s="84"/>
      <c r="G517" s="40"/>
      <c r="H517" s="45">
        <f>SUM(H520:H522)</f>
        <v>14.775699999999999</v>
      </c>
    </row>
    <row r="518" spans="2:8" x14ac:dyDescent="0.25">
      <c r="B518" s="53" t="s">
        <v>1367</v>
      </c>
      <c r="C518" s="47" t="s">
        <v>1111</v>
      </c>
      <c r="D518" s="69" t="s">
        <v>138</v>
      </c>
      <c r="E518" s="49" t="s">
        <v>272</v>
      </c>
      <c r="F518" s="71">
        <v>0.25</v>
      </c>
      <c r="G518" s="88">
        <v>4.8600000000000003</v>
      </c>
      <c r="H518" s="51">
        <f t="shared" ref="H518:H522" si="51">F518*G518</f>
        <v>1.2150000000000001</v>
      </c>
    </row>
    <row r="519" spans="2:8" x14ac:dyDescent="0.25">
      <c r="B519" s="53" t="s">
        <v>1368</v>
      </c>
      <c r="C519" s="47" t="s">
        <v>1244</v>
      </c>
      <c r="D519" s="69" t="s">
        <v>138</v>
      </c>
      <c r="E519" s="49" t="s">
        <v>272</v>
      </c>
      <c r="F519" s="71">
        <v>0.35</v>
      </c>
      <c r="G519" s="88">
        <v>8.24</v>
      </c>
      <c r="H519" s="51">
        <f t="shared" si="51"/>
        <v>2.8839999999999999</v>
      </c>
    </row>
    <row r="520" spans="2:8" x14ac:dyDescent="0.25">
      <c r="B520" s="53"/>
      <c r="C520" s="43" t="s">
        <v>155</v>
      </c>
      <c r="D520" s="61" t="s">
        <v>156</v>
      </c>
      <c r="E520" s="38" t="s">
        <v>139</v>
      </c>
      <c r="F520" s="121">
        <v>1.3</v>
      </c>
      <c r="G520" s="51"/>
      <c r="H520" s="63">
        <f>(SUM(H518:H519))*(1+F520)</f>
        <v>9.4276999999999997</v>
      </c>
    </row>
    <row r="521" spans="2:8" x14ac:dyDescent="0.25">
      <c r="B521" s="53" t="s">
        <v>1387</v>
      </c>
      <c r="C521" s="47" t="s">
        <v>1385</v>
      </c>
      <c r="D521" s="69" t="s">
        <v>1386</v>
      </c>
      <c r="E521" s="49" t="s">
        <v>159</v>
      </c>
      <c r="F521" s="71">
        <v>0.72</v>
      </c>
      <c r="G521" s="82">
        <f>42.9/6</f>
        <v>7.1499999999999995</v>
      </c>
      <c r="H521" s="51">
        <f t="shared" si="51"/>
        <v>5.1479999999999997</v>
      </c>
    </row>
    <row r="522" spans="2:8" x14ac:dyDescent="0.25">
      <c r="B522" s="53" t="s">
        <v>1388</v>
      </c>
      <c r="C522" s="47" t="s">
        <v>1389</v>
      </c>
      <c r="D522" s="69" t="s">
        <v>123</v>
      </c>
      <c r="E522" s="49" t="s">
        <v>159</v>
      </c>
      <c r="F522" s="71">
        <v>0.5</v>
      </c>
      <c r="G522" s="88">
        <v>0.4</v>
      </c>
      <c r="H522" s="51">
        <f t="shared" si="51"/>
        <v>0.2</v>
      </c>
    </row>
    <row r="523" spans="2:8" x14ac:dyDescent="0.25">
      <c r="B523" s="52" t="s">
        <v>130</v>
      </c>
      <c r="C523" s="192" t="s">
        <v>321</v>
      </c>
      <c r="D523" s="192"/>
      <c r="E523" s="192"/>
      <c r="F523" s="192"/>
      <c r="G523" s="192"/>
      <c r="H523" s="192"/>
    </row>
    <row r="525" spans="2:8" ht="15.75" customHeight="1" x14ac:dyDescent="0.25"/>
    <row r="526" spans="2:8" ht="15.75" x14ac:dyDescent="0.25">
      <c r="B526" s="218" t="s">
        <v>1390</v>
      </c>
      <c r="C526" s="214"/>
      <c r="D526" s="214"/>
      <c r="E526" s="214"/>
      <c r="F526" s="214"/>
      <c r="G526" s="214"/>
      <c r="H526" s="214"/>
    </row>
    <row r="527" spans="2:8" x14ac:dyDescent="0.25">
      <c r="B527" s="38" t="s">
        <v>121</v>
      </c>
      <c r="C527" s="39" t="s">
        <v>122</v>
      </c>
      <c r="D527" s="38" t="s">
        <v>123</v>
      </c>
      <c r="E527" s="38" t="s">
        <v>124</v>
      </c>
      <c r="F527" s="84" t="s">
        <v>125</v>
      </c>
      <c r="G527" s="40" t="s">
        <v>126</v>
      </c>
      <c r="H527" s="41" t="s">
        <v>127</v>
      </c>
    </row>
    <row r="528" spans="2:8" x14ac:dyDescent="0.25">
      <c r="B528" s="42" t="s">
        <v>1394</v>
      </c>
      <c r="C528" s="74" t="s">
        <v>1391</v>
      </c>
      <c r="D528" s="44" t="s">
        <v>117</v>
      </c>
      <c r="E528" s="38" t="s">
        <v>128</v>
      </c>
      <c r="F528" s="84"/>
      <c r="G528" s="40"/>
      <c r="H528" s="45">
        <f>SUM(H531:H532)</f>
        <v>12.853199999999999</v>
      </c>
    </row>
    <row r="529" spans="2:8" x14ac:dyDescent="0.25">
      <c r="B529" s="53" t="s">
        <v>1367</v>
      </c>
      <c r="C529" s="47" t="s">
        <v>1111</v>
      </c>
      <c r="D529" s="69" t="s">
        <v>138</v>
      </c>
      <c r="E529" s="49" t="s">
        <v>272</v>
      </c>
      <c r="F529" s="71">
        <v>0.2</v>
      </c>
      <c r="G529" s="88">
        <v>4.8600000000000003</v>
      </c>
      <c r="H529" s="51">
        <f t="shared" ref="H529:H532" si="52">F529*G529</f>
        <v>0.97200000000000009</v>
      </c>
    </row>
    <row r="530" spans="2:8" x14ac:dyDescent="0.25">
      <c r="B530" s="53" t="s">
        <v>1368</v>
      </c>
      <c r="C530" s="47" t="s">
        <v>1244</v>
      </c>
      <c r="D530" s="69" t="s">
        <v>138</v>
      </c>
      <c r="E530" s="49" t="s">
        <v>272</v>
      </c>
      <c r="F530" s="71">
        <v>0.3</v>
      </c>
      <c r="G530" s="88">
        <v>8.24</v>
      </c>
      <c r="H530" s="51">
        <f t="shared" si="52"/>
        <v>2.472</v>
      </c>
    </row>
    <row r="531" spans="2:8" x14ac:dyDescent="0.25">
      <c r="B531" s="53"/>
      <c r="C531" s="43" t="s">
        <v>155</v>
      </c>
      <c r="D531" s="61" t="s">
        <v>156</v>
      </c>
      <c r="E531" s="38" t="s">
        <v>139</v>
      </c>
      <c r="F531" s="121">
        <v>1.3</v>
      </c>
      <c r="G531" s="51"/>
      <c r="H531" s="63">
        <f>(SUM(H529:H530))*(1+F531)</f>
        <v>7.9211999999999989</v>
      </c>
    </row>
    <row r="532" spans="2:8" x14ac:dyDescent="0.25">
      <c r="B532" s="53" t="s">
        <v>1396</v>
      </c>
      <c r="C532" s="47" t="s">
        <v>1397</v>
      </c>
      <c r="D532" s="69" t="s">
        <v>173</v>
      </c>
      <c r="E532" s="49" t="s">
        <v>159</v>
      </c>
      <c r="F532" s="71">
        <v>0.6</v>
      </c>
      <c r="G532" s="93">
        <v>8.2200000000000006</v>
      </c>
      <c r="H532" s="51">
        <f t="shared" si="52"/>
        <v>4.9320000000000004</v>
      </c>
    </row>
    <row r="533" spans="2:8" x14ac:dyDescent="0.25">
      <c r="B533" s="52" t="s">
        <v>130</v>
      </c>
      <c r="C533" s="192" t="s">
        <v>232</v>
      </c>
      <c r="D533" s="192"/>
      <c r="E533" s="192"/>
      <c r="F533" s="192"/>
      <c r="G533" s="192"/>
      <c r="H533" s="192"/>
    </row>
    <row r="535" spans="2:8" ht="15.75" customHeight="1" x14ac:dyDescent="0.25"/>
    <row r="536" spans="2:8" ht="15.75" x14ac:dyDescent="0.25">
      <c r="B536" s="218" t="s">
        <v>1399</v>
      </c>
      <c r="C536" s="214"/>
      <c r="D536" s="214"/>
      <c r="E536" s="214"/>
      <c r="F536" s="214"/>
      <c r="G536" s="214"/>
      <c r="H536" s="214"/>
    </row>
    <row r="537" spans="2:8" x14ac:dyDescent="0.25">
      <c r="B537" s="38" t="s">
        <v>121</v>
      </c>
      <c r="C537" s="39" t="s">
        <v>122</v>
      </c>
      <c r="D537" s="38" t="s">
        <v>123</v>
      </c>
      <c r="E537" s="38" t="s">
        <v>124</v>
      </c>
      <c r="F537" s="84" t="s">
        <v>125</v>
      </c>
      <c r="G537" s="40" t="s">
        <v>126</v>
      </c>
      <c r="H537" s="41" t="s">
        <v>127</v>
      </c>
    </row>
    <row r="538" spans="2:8" ht="30" x14ac:dyDescent="0.25">
      <c r="B538" s="42" t="s">
        <v>419</v>
      </c>
      <c r="C538" s="74" t="s">
        <v>1398</v>
      </c>
      <c r="D538" s="44" t="s">
        <v>421</v>
      </c>
      <c r="E538" s="38" t="s">
        <v>128</v>
      </c>
      <c r="F538" s="84"/>
      <c r="G538" s="40"/>
      <c r="H538" s="45">
        <f>SUM(H541:H544)</f>
        <v>212.3526588</v>
      </c>
    </row>
    <row r="539" spans="2:8" x14ac:dyDescent="0.25">
      <c r="B539" s="53" t="s">
        <v>148</v>
      </c>
      <c r="C539" s="47" t="s">
        <v>1403</v>
      </c>
      <c r="D539" s="69" t="s">
        <v>138</v>
      </c>
      <c r="E539" s="49" t="s">
        <v>272</v>
      </c>
      <c r="F539" s="71">
        <v>1.1414</v>
      </c>
      <c r="G539" s="88">
        <v>8.24</v>
      </c>
      <c r="H539" s="51">
        <f t="shared" ref="H539:H544" si="53">F539*G539</f>
        <v>9.4051360000000006</v>
      </c>
    </row>
    <row r="540" spans="2:8" x14ac:dyDescent="0.25">
      <c r="B540" s="53" t="s">
        <v>1367</v>
      </c>
      <c r="C540" s="47" t="s">
        <v>1111</v>
      </c>
      <c r="D540" s="69" t="s">
        <v>138</v>
      </c>
      <c r="E540" s="49" t="s">
        <v>272</v>
      </c>
      <c r="F540" s="71">
        <v>0.70699999999999996</v>
      </c>
      <c r="G540" s="88">
        <v>4.8600000000000003</v>
      </c>
      <c r="H540" s="51">
        <f t="shared" si="53"/>
        <v>3.4360200000000001</v>
      </c>
    </row>
    <row r="541" spans="2:8" x14ac:dyDescent="0.25">
      <c r="B541" s="53"/>
      <c r="C541" s="43" t="s">
        <v>155</v>
      </c>
      <c r="D541" s="61" t="s">
        <v>156</v>
      </c>
      <c r="E541" s="38" t="s">
        <v>139</v>
      </c>
      <c r="F541" s="121">
        <v>1.3</v>
      </c>
      <c r="G541" s="51"/>
      <c r="H541" s="63">
        <f>(SUM(H539:H540))*(1+F541)</f>
        <v>29.534658800000003</v>
      </c>
    </row>
    <row r="542" spans="2:8" ht="30" x14ac:dyDescent="0.25">
      <c r="B542" s="53" t="s">
        <v>1405</v>
      </c>
      <c r="C542" s="47" t="s">
        <v>1404</v>
      </c>
      <c r="D542" s="69" t="s">
        <v>421</v>
      </c>
      <c r="E542" s="49" t="s">
        <v>159</v>
      </c>
      <c r="F542" s="71">
        <v>3</v>
      </c>
      <c r="G542" s="51">
        <v>23.71</v>
      </c>
      <c r="H542" s="51">
        <f t="shared" si="53"/>
        <v>71.13</v>
      </c>
    </row>
    <row r="543" spans="2:8" x14ac:dyDescent="0.25">
      <c r="B543" s="53" t="s">
        <v>1407</v>
      </c>
      <c r="C543" s="47" t="s">
        <v>1406</v>
      </c>
      <c r="D543" s="69" t="s">
        <v>421</v>
      </c>
      <c r="E543" s="49" t="s">
        <v>159</v>
      </c>
      <c r="F543" s="71">
        <v>19.8</v>
      </c>
      <c r="G543" s="51">
        <v>0.06</v>
      </c>
      <c r="H543" s="51">
        <f t="shared" si="53"/>
        <v>1.1879999999999999</v>
      </c>
    </row>
    <row r="544" spans="2:8" ht="30" x14ac:dyDescent="0.25">
      <c r="B544" s="53" t="s">
        <v>1408</v>
      </c>
      <c r="C544" s="47" t="s">
        <v>1409</v>
      </c>
      <c r="D544" s="69" t="s">
        <v>421</v>
      </c>
      <c r="E544" s="49" t="s">
        <v>159</v>
      </c>
      <c r="F544" s="71">
        <v>1</v>
      </c>
      <c r="G544" s="93">
        <v>110.5</v>
      </c>
      <c r="H544" s="51">
        <f t="shared" si="53"/>
        <v>110.5</v>
      </c>
    </row>
    <row r="545" spans="2:8" x14ac:dyDescent="0.25">
      <c r="B545" s="52" t="s">
        <v>130</v>
      </c>
      <c r="C545" s="192" t="s">
        <v>232</v>
      </c>
      <c r="D545" s="192"/>
      <c r="E545" s="192"/>
      <c r="F545" s="192"/>
      <c r="G545" s="192"/>
      <c r="H545" s="192"/>
    </row>
    <row r="547" spans="2:8" ht="15.75" customHeight="1" x14ac:dyDescent="0.25"/>
    <row r="548" spans="2:8" ht="15.75" x14ac:dyDescent="0.25">
      <c r="B548" s="218" t="s">
        <v>443</v>
      </c>
      <c r="C548" s="214"/>
      <c r="D548" s="214"/>
      <c r="E548" s="214"/>
      <c r="F548" s="214"/>
      <c r="G548" s="214"/>
      <c r="H548" s="214"/>
    </row>
    <row r="549" spans="2:8" x14ac:dyDescent="0.25">
      <c r="B549" s="38" t="s">
        <v>121</v>
      </c>
      <c r="C549" s="39" t="s">
        <v>122</v>
      </c>
      <c r="D549" s="38" t="s">
        <v>123</v>
      </c>
      <c r="E549" s="38" t="s">
        <v>124</v>
      </c>
      <c r="F549" s="84" t="s">
        <v>125</v>
      </c>
      <c r="G549" s="40" t="s">
        <v>126</v>
      </c>
      <c r="H549" s="41" t="s">
        <v>127</v>
      </c>
    </row>
    <row r="550" spans="2:8" ht="30" x14ac:dyDescent="0.25">
      <c r="B550" s="42" t="s">
        <v>419</v>
      </c>
      <c r="C550" s="74" t="s">
        <v>1410</v>
      </c>
      <c r="D550" s="44" t="s">
        <v>421</v>
      </c>
      <c r="E550" s="38" t="s">
        <v>128</v>
      </c>
      <c r="F550" s="84"/>
      <c r="G550" s="40"/>
      <c r="H550" s="45">
        <f>SUM(H553:H556)</f>
        <v>298.43838600000004</v>
      </c>
    </row>
    <row r="551" spans="2:8" x14ac:dyDescent="0.25">
      <c r="B551" s="53" t="s">
        <v>148</v>
      </c>
      <c r="C551" s="47" t="s">
        <v>1403</v>
      </c>
      <c r="D551" s="69" t="s">
        <v>138</v>
      </c>
      <c r="E551" s="49" t="s">
        <v>272</v>
      </c>
      <c r="F551" s="71">
        <v>1.546</v>
      </c>
      <c r="G551" s="71">
        <v>8.24</v>
      </c>
      <c r="H551" s="51">
        <f t="shared" ref="H551:H552" si="54">F551*G551</f>
        <v>12.739040000000001</v>
      </c>
    </row>
    <row r="552" spans="2:8" x14ac:dyDescent="0.25">
      <c r="B552" s="53" t="s">
        <v>1367</v>
      </c>
      <c r="C552" s="47" t="s">
        <v>1111</v>
      </c>
      <c r="D552" s="69" t="s">
        <v>138</v>
      </c>
      <c r="E552" s="49" t="s">
        <v>272</v>
      </c>
      <c r="F552" s="71">
        <v>0.77300000000000002</v>
      </c>
      <c r="G552" s="88">
        <v>4.8600000000000003</v>
      </c>
      <c r="H552" s="51">
        <f t="shared" si="54"/>
        <v>3.7567800000000005</v>
      </c>
    </row>
    <row r="553" spans="2:8" x14ac:dyDescent="0.25">
      <c r="B553" s="53"/>
      <c r="C553" s="43" t="s">
        <v>155</v>
      </c>
      <c r="D553" s="61" t="s">
        <v>156</v>
      </c>
      <c r="E553" s="38" t="s">
        <v>139</v>
      </c>
      <c r="F553" s="121">
        <v>1.3</v>
      </c>
      <c r="G553" s="51"/>
      <c r="H553" s="63">
        <f>(SUM(H551:H552))*(1+F553)</f>
        <v>37.940386000000004</v>
      </c>
    </row>
    <row r="554" spans="2:8" ht="30" x14ac:dyDescent="0.25">
      <c r="B554" s="53" t="s">
        <v>1405</v>
      </c>
      <c r="C554" s="47" t="s">
        <v>1404</v>
      </c>
      <c r="D554" s="69" t="s">
        <v>421</v>
      </c>
      <c r="E554" s="49" t="s">
        <v>159</v>
      </c>
      <c r="F554" s="71">
        <v>3</v>
      </c>
      <c r="G554" s="51">
        <v>23.71</v>
      </c>
      <c r="H554" s="51">
        <f t="shared" ref="H554:H556" si="55">F554*G554</f>
        <v>71.13</v>
      </c>
    </row>
    <row r="555" spans="2:8" x14ac:dyDescent="0.25">
      <c r="B555" s="53" t="s">
        <v>1407</v>
      </c>
      <c r="C555" s="47" t="s">
        <v>1406</v>
      </c>
      <c r="D555" s="69" t="s">
        <v>421</v>
      </c>
      <c r="E555" s="49" t="s">
        <v>159</v>
      </c>
      <c r="F555" s="71">
        <v>19.8</v>
      </c>
      <c r="G555" s="51">
        <v>0.06</v>
      </c>
      <c r="H555" s="51">
        <f t="shared" si="55"/>
        <v>1.1879999999999999</v>
      </c>
    </row>
    <row r="556" spans="2:8" ht="30" x14ac:dyDescent="0.25">
      <c r="B556" s="53" t="s">
        <v>1411</v>
      </c>
      <c r="C556" s="47" t="s">
        <v>1412</v>
      </c>
      <c r="D556" s="69" t="s">
        <v>421</v>
      </c>
      <c r="E556" s="49" t="s">
        <v>159</v>
      </c>
      <c r="F556" s="71">
        <v>1</v>
      </c>
      <c r="G556" s="93">
        <v>188.18</v>
      </c>
      <c r="H556" s="51">
        <f t="shared" si="55"/>
        <v>188.18</v>
      </c>
    </row>
    <row r="557" spans="2:8" x14ac:dyDescent="0.25">
      <c r="B557" s="52" t="s">
        <v>130</v>
      </c>
      <c r="C557" s="192" t="s">
        <v>232</v>
      </c>
      <c r="D557" s="192"/>
      <c r="E557" s="192"/>
      <c r="F557" s="192"/>
      <c r="G557" s="192"/>
      <c r="H557" s="192"/>
    </row>
    <row r="559" spans="2:8" ht="15.75" customHeight="1" x14ac:dyDescent="0.25"/>
    <row r="560" spans="2:8" ht="15.75" x14ac:dyDescent="0.25">
      <c r="B560" s="218" t="s">
        <v>448</v>
      </c>
      <c r="C560" s="214"/>
      <c r="D560" s="214"/>
      <c r="E560" s="214"/>
      <c r="F560" s="214"/>
      <c r="G560" s="214"/>
      <c r="H560" s="214"/>
    </row>
    <row r="561" spans="2:8" x14ac:dyDescent="0.25">
      <c r="B561" s="38" t="s">
        <v>121</v>
      </c>
      <c r="C561" s="39" t="s">
        <v>122</v>
      </c>
      <c r="D561" s="38" t="s">
        <v>123</v>
      </c>
      <c r="E561" s="38" t="s">
        <v>124</v>
      </c>
      <c r="F561" s="84" t="s">
        <v>125</v>
      </c>
      <c r="G561" s="40" t="s">
        <v>126</v>
      </c>
      <c r="H561" s="41" t="s">
        <v>127</v>
      </c>
    </row>
    <row r="562" spans="2:8" ht="30" x14ac:dyDescent="0.25">
      <c r="B562" s="42" t="s">
        <v>419</v>
      </c>
      <c r="C562" s="74" t="s">
        <v>1398</v>
      </c>
      <c r="D562" s="44" t="s">
        <v>421</v>
      </c>
      <c r="E562" s="38" t="s">
        <v>128</v>
      </c>
      <c r="F562" s="84"/>
      <c r="G562" s="40"/>
      <c r="H562" s="45">
        <f>SUM(H565:H568)</f>
        <v>319.18944799999997</v>
      </c>
    </row>
    <row r="563" spans="2:8" x14ac:dyDescent="0.25">
      <c r="B563" s="53" t="s">
        <v>148</v>
      </c>
      <c r="C563" s="47" t="s">
        <v>1403</v>
      </c>
      <c r="D563" s="69" t="s">
        <v>138</v>
      </c>
      <c r="E563" s="49" t="s">
        <v>272</v>
      </c>
      <c r="F563" s="71">
        <v>2.3279999999999998</v>
      </c>
      <c r="G563" s="88">
        <v>8.24</v>
      </c>
      <c r="H563" s="51">
        <f t="shared" ref="H563:H564" si="56">F563*G563</f>
        <v>19.18272</v>
      </c>
    </row>
    <row r="564" spans="2:8" x14ac:dyDescent="0.25">
      <c r="B564" s="53" t="s">
        <v>1367</v>
      </c>
      <c r="C564" s="47" t="s">
        <v>1111</v>
      </c>
      <c r="D564" s="69" t="s">
        <v>138</v>
      </c>
      <c r="E564" s="49" t="s">
        <v>272</v>
      </c>
      <c r="F564" s="71">
        <v>1.1639999999999999</v>
      </c>
      <c r="G564" s="88">
        <v>4.8600000000000003</v>
      </c>
      <c r="H564" s="51">
        <f t="shared" si="56"/>
        <v>5.6570400000000003</v>
      </c>
    </row>
    <row r="565" spans="2:8" x14ac:dyDescent="0.25">
      <c r="B565" s="53"/>
      <c r="C565" s="43" t="s">
        <v>155</v>
      </c>
      <c r="D565" s="61" t="s">
        <v>156</v>
      </c>
      <c r="E565" s="38" t="s">
        <v>139</v>
      </c>
      <c r="F565" s="121">
        <v>1.3</v>
      </c>
      <c r="G565" s="51"/>
      <c r="H565" s="63">
        <f>(SUM(H563:H564))*(1+F565)</f>
        <v>57.131447999999992</v>
      </c>
    </row>
    <row r="566" spans="2:8" ht="30" x14ac:dyDescent="0.25">
      <c r="B566" s="53" t="s">
        <v>1405</v>
      </c>
      <c r="C566" s="47" t="s">
        <v>1404</v>
      </c>
      <c r="D566" s="69" t="s">
        <v>421</v>
      </c>
      <c r="E566" s="49" t="s">
        <v>159</v>
      </c>
      <c r="F566" s="71">
        <v>3</v>
      </c>
      <c r="G566" s="51">
        <v>23.71</v>
      </c>
      <c r="H566" s="51">
        <f t="shared" ref="H566:H568" si="57">F566*G566</f>
        <v>71.13</v>
      </c>
    </row>
    <row r="567" spans="2:8" x14ac:dyDescent="0.25">
      <c r="B567" s="53" t="s">
        <v>1407</v>
      </c>
      <c r="C567" s="47" t="s">
        <v>1406</v>
      </c>
      <c r="D567" s="69" t="s">
        <v>421</v>
      </c>
      <c r="E567" s="49" t="s">
        <v>159</v>
      </c>
      <c r="F567" s="71">
        <v>19.8</v>
      </c>
      <c r="G567" s="51">
        <v>0.06</v>
      </c>
      <c r="H567" s="51">
        <f t="shared" si="57"/>
        <v>1.1879999999999999</v>
      </c>
    </row>
    <row r="568" spans="2:8" ht="30" x14ac:dyDescent="0.25">
      <c r="B568" s="53" t="s">
        <v>1414</v>
      </c>
      <c r="C568" s="47" t="s">
        <v>1413</v>
      </c>
      <c r="D568" s="69" t="s">
        <v>421</v>
      </c>
      <c r="E568" s="49" t="s">
        <v>159</v>
      </c>
      <c r="F568" s="71">
        <v>1</v>
      </c>
      <c r="G568" s="93">
        <v>189.74</v>
      </c>
      <c r="H568" s="51">
        <f t="shared" si="57"/>
        <v>189.74</v>
      </c>
    </row>
    <row r="569" spans="2:8" x14ac:dyDescent="0.25">
      <c r="B569" s="52" t="s">
        <v>130</v>
      </c>
      <c r="C569" s="192" t="s">
        <v>232</v>
      </c>
      <c r="D569" s="192"/>
      <c r="E569" s="192"/>
      <c r="F569" s="192"/>
      <c r="G569" s="192"/>
      <c r="H569" s="192"/>
    </row>
    <row r="572" spans="2:8" ht="15.75" x14ac:dyDescent="0.25">
      <c r="B572" s="218" t="s">
        <v>455</v>
      </c>
      <c r="C572" s="214"/>
      <c r="D572" s="214"/>
      <c r="E572" s="214"/>
      <c r="F572" s="214"/>
      <c r="G572" s="214"/>
      <c r="H572" s="214"/>
    </row>
    <row r="573" spans="2:8" x14ac:dyDescent="0.25">
      <c r="B573" s="38" t="s">
        <v>121</v>
      </c>
      <c r="C573" s="39" t="s">
        <v>122</v>
      </c>
      <c r="D573" s="38" t="s">
        <v>123</v>
      </c>
      <c r="E573" s="38" t="s">
        <v>124</v>
      </c>
      <c r="F573" s="84" t="s">
        <v>125</v>
      </c>
      <c r="G573" s="40" t="s">
        <v>126</v>
      </c>
      <c r="H573" s="41" t="s">
        <v>127</v>
      </c>
    </row>
    <row r="574" spans="2:8" x14ac:dyDescent="0.25">
      <c r="B574" s="42" t="s">
        <v>1415</v>
      </c>
      <c r="C574" s="43" t="s">
        <v>1416</v>
      </c>
      <c r="D574" s="44" t="s">
        <v>117</v>
      </c>
      <c r="E574" s="38" t="s">
        <v>128</v>
      </c>
      <c r="F574" s="84"/>
      <c r="G574" s="40"/>
      <c r="H574" s="45">
        <f>SUM(H577:H581)</f>
        <v>14.860950000000001</v>
      </c>
    </row>
    <row r="575" spans="2:8" x14ac:dyDescent="0.25">
      <c r="B575" s="53" t="s">
        <v>1367</v>
      </c>
      <c r="C575" s="47" t="s">
        <v>1111</v>
      </c>
      <c r="D575" s="69" t="s">
        <v>138</v>
      </c>
      <c r="E575" s="49" t="s">
        <v>272</v>
      </c>
      <c r="F575" s="71">
        <v>0.3</v>
      </c>
      <c r="G575" s="88">
        <v>5.13</v>
      </c>
      <c r="H575" s="51">
        <f t="shared" ref="H575:H581" si="58">F575*G575</f>
        <v>1.5389999999999999</v>
      </c>
    </row>
    <row r="576" spans="2:8" x14ac:dyDescent="0.25">
      <c r="B576" s="53" t="s">
        <v>1368</v>
      </c>
      <c r="C576" s="47" t="s">
        <v>1244</v>
      </c>
      <c r="D576" s="69" t="s">
        <v>138</v>
      </c>
      <c r="E576" s="49" t="s">
        <v>272</v>
      </c>
      <c r="F576" s="71">
        <v>0.4</v>
      </c>
      <c r="G576" s="88">
        <v>8.24</v>
      </c>
      <c r="H576" s="51">
        <f t="shared" si="58"/>
        <v>3.2960000000000003</v>
      </c>
    </row>
    <row r="577" spans="2:8" x14ac:dyDescent="0.25">
      <c r="B577" s="53"/>
      <c r="C577" s="43" t="s">
        <v>155</v>
      </c>
      <c r="D577" s="61" t="s">
        <v>156</v>
      </c>
      <c r="E577" s="38" t="s">
        <v>139</v>
      </c>
      <c r="F577" s="121">
        <v>1.3</v>
      </c>
      <c r="G577" s="51"/>
      <c r="H577" s="63">
        <f>(SUM(H575:H576))*(1+F577)</f>
        <v>11.1205</v>
      </c>
    </row>
    <row r="578" spans="2:8" x14ac:dyDescent="0.25">
      <c r="B578" s="79" t="s">
        <v>460</v>
      </c>
      <c r="C578" s="47" t="s">
        <v>461</v>
      </c>
      <c r="D578" s="69" t="s">
        <v>173</v>
      </c>
      <c r="E578" s="49" t="s">
        <v>159</v>
      </c>
      <c r="F578" s="71">
        <v>0.06</v>
      </c>
      <c r="G578" s="88">
        <v>11.32</v>
      </c>
      <c r="H578" s="51">
        <f t="shared" si="58"/>
        <v>0.67920000000000003</v>
      </c>
    </row>
    <row r="579" spans="2:8" x14ac:dyDescent="0.25">
      <c r="B579" s="79" t="s">
        <v>1422</v>
      </c>
      <c r="C579" s="47" t="s">
        <v>1246</v>
      </c>
      <c r="D579" s="69" t="s">
        <v>123</v>
      </c>
      <c r="E579" s="49" t="s">
        <v>159</v>
      </c>
      <c r="F579" s="71">
        <v>1</v>
      </c>
      <c r="G579" s="88">
        <v>0.47</v>
      </c>
      <c r="H579" s="51">
        <f t="shared" si="58"/>
        <v>0.47</v>
      </c>
    </row>
    <row r="580" spans="2:8" ht="28.5" customHeight="1" x14ac:dyDescent="0.25">
      <c r="B580" s="79" t="s">
        <v>1419</v>
      </c>
      <c r="C580" s="47" t="s">
        <v>1420</v>
      </c>
      <c r="D580" s="69" t="s">
        <v>173</v>
      </c>
      <c r="E580" s="49" t="s">
        <v>159</v>
      </c>
      <c r="F580" s="71">
        <v>7.4999999999999997E-2</v>
      </c>
      <c r="G580" s="88">
        <v>26.87</v>
      </c>
      <c r="H580" s="51">
        <f t="shared" si="58"/>
        <v>2.01525</v>
      </c>
    </row>
    <row r="581" spans="2:8" x14ac:dyDescent="0.25">
      <c r="B581" s="53" t="s">
        <v>1423</v>
      </c>
      <c r="C581" s="47" t="s">
        <v>1418</v>
      </c>
      <c r="D581" s="69" t="s">
        <v>173</v>
      </c>
      <c r="E581" s="49" t="s">
        <v>159</v>
      </c>
      <c r="F581" s="71">
        <v>0.05</v>
      </c>
      <c r="G581" s="93">
        <v>11.52</v>
      </c>
      <c r="H581" s="51">
        <f t="shared" si="58"/>
        <v>0.57599999999999996</v>
      </c>
    </row>
    <row r="582" spans="2:8" x14ac:dyDescent="0.25">
      <c r="B582" s="52" t="s">
        <v>130</v>
      </c>
      <c r="C582" s="192" t="s">
        <v>1421</v>
      </c>
      <c r="D582" s="192"/>
      <c r="E582" s="192"/>
      <c r="F582" s="192"/>
      <c r="G582" s="192"/>
      <c r="H582" s="192"/>
    </row>
    <row r="585" spans="2:8" ht="15.75" x14ac:dyDescent="0.25">
      <c r="B585" s="227" t="s">
        <v>467</v>
      </c>
      <c r="C585" s="228"/>
      <c r="D585" s="228"/>
      <c r="E585" s="228"/>
      <c r="F585" s="228"/>
      <c r="G585" s="228"/>
      <c r="H585" s="228"/>
    </row>
    <row r="586" spans="2:8" x14ac:dyDescent="0.25">
      <c r="B586" s="38" t="s">
        <v>121</v>
      </c>
      <c r="C586" s="39" t="s">
        <v>122</v>
      </c>
      <c r="D586" s="38" t="s">
        <v>123</v>
      </c>
      <c r="E586" s="38" t="s">
        <v>124</v>
      </c>
      <c r="F586" s="84" t="s">
        <v>125</v>
      </c>
      <c r="G586" s="40" t="s">
        <v>126</v>
      </c>
      <c r="H586" s="41" t="s">
        <v>127</v>
      </c>
    </row>
    <row r="587" spans="2:8" ht="30" x14ac:dyDescent="0.25">
      <c r="B587" s="42" t="s">
        <v>468</v>
      </c>
      <c r="C587" s="43" t="s">
        <v>469</v>
      </c>
      <c r="D587" s="44" t="s">
        <v>421</v>
      </c>
      <c r="E587" s="38" t="s">
        <v>128</v>
      </c>
      <c r="F587" s="84"/>
      <c r="G587" s="40"/>
      <c r="H587" s="45">
        <f>SUM(H590:H593)</f>
        <v>328.01710000000003</v>
      </c>
    </row>
    <row r="588" spans="2:8" x14ac:dyDescent="0.25">
      <c r="B588" s="53" t="s">
        <v>152</v>
      </c>
      <c r="C588" s="47" t="s">
        <v>422</v>
      </c>
      <c r="D588" s="69" t="s">
        <v>138</v>
      </c>
      <c r="E588" s="49" t="s">
        <v>272</v>
      </c>
      <c r="F588" s="71">
        <v>0.64</v>
      </c>
      <c r="G588" s="88">
        <v>8.24</v>
      </c>
      <c r="H588" s="51">
        <f t="shared" ref="H588:H593" si="59">F588*G588</f>
        <v>5.2736000000000001</v>
      </c>
    </row>
    <row r="589" spans="2:8" x14ac:dyDescent="0.25">
      <c r="B589" s="53" t="s">
        <v>136</v>
      </c>
      <c r="C589" s="47" t="s">
        <v>137</v>
      </c>
      <c r="D589" s="69" t="s">
        <v>138</v>
      </c>
      <c r="E589" s="49" t="s">
        <v>272</v>
      </c>
      <c r="F589" s="71">
        <v>0.28999999999999998</v>
      </c>
      <c r="G589" s="88">
        <v>4.8600000000000003</v>
      </c>
      <c r="H589" s="51">
        <f t="shared" si="59"/>
        <v>1.4094</v>
      </c>
    </row>
    <row r="590" spans="2:8" x14ac:dyDescent="0.25">
      <c r="B590" s="53"/>
      <c r="C590" s="43" t="s">
        <v>155</v>
      </c>
      <c r="D590" s="61" t="s">
        <v>156</v>
      </c>
      <c r="E590" s="38" t="s">
        <v>139</v>
      </c>
      <c r="F590" s="121">
        <v>1.3</v>
      </c>
      <c r="G590" s="51"/>
      <c r="H590" s="63">
        <f>(SUM(H588:H589))*(1+F590)</f>
        <v>15.370899999999999</v>
      </c>
    </row>
    <row r="591" spans="2:8" x14ac:dyDescent="0.25">
      <c r="B591" s="79" t="s">
        <v>358</v>
      </c>
      <c r="C591" s="47" t="s">
        <v>158</v>
      </c>
      <c r="D591" s="69" t="s">
        <v>135</v>
      </c>
      <c r="E591" s="49" t="s">
        <v>159</v>
      </c>
      <c r="F591" s="71">
        <v>3.8999999999999998E-3</v>
      </c>
      <c r="G591" s="51">
        <v>73</v>
      </c>
      <c r="H591" s="51">
        <f t="shared" si="59"/>
        <v>0.28470000000000001</v>
      </c>
    </row>
    <row r="592" spans="2:8" x14ac:dyDescent="0.25">
      <c r="B592" s="79" t="s">
        <v>326</v>
      </c>
      <c r="C592" s="47" t="s">
        <v>426</v>
      </c>
      <c r="D592" s="69" t="s">
        <v>168</v>
      </c>
      <c r="E592" s="49" t="s">
        <v>159</v>
      </c>
      <c r="F592" s="71">
        <v>1.55</v>
      </c>
      <c r="G592" s="51">
        <v>0.53</v>
      </c>
      <c r="H592" s="51">
        <f t="shared" si="59"/>
        <v>0.82150000000000012</v>
      </c>
    </row>
    <row r="593" spans="2:8" ht="30" x14ac:dyDescent="0.25">
      <c r="B593" s="79" t="s">
        <v>470</v>
      </c>
      <c r="C593" s="47" t="s">
        <v>471</v>
      </c>
      <c r="D593" s="69" t="s">
        <v>421</v>
      </c>
      <c r="E593" s="49" t="s">
        <v>159</v>
      </c>
      <c r="F593" s="71">
        <v>1</v>
      </c>
      <c r="G593" s="82">
        <v>311.54000000000002</v>
      </c>
      <c r="H593" s="51">
        <f t="shared" si="59"/>
        <v>311.54000000000002</v>
      </c>
    </row>
    <row r="594" spans="2:8" x14ac:dyDescent="0.25">
      <c r="B594" s="52" t="s">
        <v>130</v>
      </c>
      <c r="C594" s="192" t="s">
        <v>131</v>
      </c>
      <c r="D594" s="192"/>
      <c r="E594" s="192"/>
      <c r="F594" s="192"/>
      <c r="G594" s="192"/>
      <c r="H594" s="192"/>
    </row>
    <row r="597" spans="2:8" ht="15.75" x14ac:dyDescent="0.25">
      <c r="B597" s="227" t="s">
        <v>472</v>
      </c>
      <c r="C597" s="228"/>
      <c r="D597" s="228"/>
      <c r="E597" s="228"/>
      <c r="F597" s="228"/>
      <c r="G597" s="228"/>
      <c r="H597" s="228"/>
    </row>
    <row r="598" spans="2:8" x14ac:dyDescent="0.25">
      <c r="B598" s="38" t="s">
        <v>121</v>
      </c>
      <c r="C598" s="39" t="s">
        <v>122</v>
      </c>
      <c r="D598" s="38" t="s">
        <v>123</v>
      </c>
      <c r="E598" s="38" t="s">
        <v>124</v>
      </c>
      <c r="F598" s="84" t="s">
        <v>125</v>
      </c>
      <c r="G598" s="40" t="s">
        <v>126</v>
      </c>
      <c r="H598" s="41" t="s">
        <v>127</v>
      </c>
    </row>
    <row r="599" spans="2:8" ht="30" x14ac:dyDescent="0.25">
      <c r="B599" s="42" t="s">
        <v>473</v>
      </c>
      <c r="C599" s="43" t="s">
        <v>474</v>
      </c>
      <c r="D599" s="44" t="s">
        <v>421</v>
      </c>
      <c r="E599" s="38" t="s">
        <v>128</v>
      </c>
      <c r="F599" s="84"/>
      <c r="G599" s="40"/>
      <c r="H599" s="45">
        <f>SUM(H602:H605)</f>
        <v>577.12951999999996</v>
      </c>
    </row>
    <row r="600" spans="2:8" x14ac:dyDescent="0.25">
      <c r="B600" s="53" t="s">
        <v>152</v>
      </c>
      <c r="C600" s="47" t="s">
        <v>422</v>
      </c>
      <c r="D600" s="69" t="s">
        <v>138</v>
      </c>
      <c r="E600" s="49" t="s">
        <v>272</v>
      </c>
      <c r="F600" s="71">
        <v>1.2</v>
      </c>
      <c r="G600" s="88">
        <v>8.24</v>
      </c>
      <c r="H600" s="51">
        <f t="shared" ref="H600:H605" si="60">F600*G600</f>
        <v>9.8879999999999999</v>
      </c>
    </row>
    <row r="601" spans="2:8" x14ac:dyDescent="0.25">
      <c r="B601" s="53" t="s">
        <v>136</v>
      </c>
      <c r="C601" s="47" t="s">
        <v>137</v>
      </c>
      <c r="D601" s="69" t="s">
        <v>138</v>
      </c>
      <c r="E601" s="49" t="s">
        <v>272</v>
      </c>
      <c r="F601" s="71">
        <v>0.54</v>
      </c>
      <c r="G601" s="88">
        <v>4.8600000000000003</v>
      </c>
      <c r="H601" s="51">
        <f t="shared" si="60"/>
        <v>2.6244000000000005</v>
      </c>
    </row>
    <row r="602" spans="2:8" x14ac:dyDescent="0.25">
      <c r="B602" s="53"/>
      <c r="C602" s="43" t="s">
        <v>155</v>
      </c>
      <c r="D602" s="61" t="s">
        <v>156</v>
      </c>
      <c r="E602" s="38" t="s">
        <v>139</v>
      </c>
      <c r="F602" s="121">
        <v>1.3</v>
      </c>
      <c r="G602" s="51"/>
      <c r="H602" s="63">
        <f>(SUM(H600:H601))*(1+F602)</f>
        <v>28.778519999999997</v>
      </c>
    </row>
    <row r="603" spans="2:8" x14ac:dyDescent="0.25">
      <c r="B603" s="79" t="s">
        <v>358</v>
      </c>
      <c r="C603" s="47" t="s">
        <v>158</v>
      </c>
      <c r="D603" s="69" t="s">
        <v>135</v>
      </c>
      <c r="E603" s="49" t="s">
        <v>159</v>
      </c>
      <c r="F603" s="71">
        <v>4.7999999999999996E-3</v>
      </c>
      <c r="G603" s="51">
        <v>80</v>
      </c>
      <c r="H603" s="51">
        <f t="shared" si="60"/>
        <v>0.38399999999999995</v>
      </c>
    </row>
    <row r="604" spans="2:8" x14ac:dyDescent="0.25">
      <c r="B604" s="79" t="s">
        <v>326</v>
      </c>
      <c r="C604" s="47" t="s">
        <v>426</v>
      </c>
      <c r="D604" s="69" t="s">
        <v>168</v>
      </c>
      <c r="E604" s="49" t="s">
        <v>159</v>
      </c>
      <c r="F604" s="71">
        <v>1.94</v>
      </c>
      <c r="G604" s="51">
        <v>0.55000000000000004</v>
      </c>
      <c r="H604" s="51">
        <f t="shared" si="60"/>
        <v>1.0669999999999999</v>
      </c>
    </row>
    <row r="605" spans="2:8" ht="30" x14ac:dyDescent="0.25">
      <c r="B605" s="79" t="s">
        <v>475</v>
      </c>
      <c r="C605" s="47" t="s">
        <v>476</v>
      </c>
      <c r="D605" s="69" t="s">
        <v>421</v>
      </c>
      <c r="E605" s="49" t="s">
        <v>159</v>
      </c>
      <c r="F605" s="71">
        <v>1</v>
      </c>
      <c r="G605" s="82">
        <v>546.9</v>
      </c>
      <c r="H605" s="51">
        <f t="shared" si="60"/>
        <v>546.9</v>
      </c>
    </row>
    <row r="606" spans="2:8" x14ac:dyDescent="0.25">
      <c r="B606" s="52" t="s">
        <v>130</v>
      </c>
      <c r="C606" s="192" t="s">
        <v>131</v>
      </c>
      <c r="D606" s="192"/>
      <c r="E606" s="192"/>
      <c r="F606" s="192"/>
      <c r="G606" s="192"/>
      <c r="H606" s="192"/>
    </row>
    <row r="609" spans="2:8" ht="15.75" x14ac:dyDescent="0.25">
      <c r="B609" s="218" t="s">
        <v>477</v>
      </c>
      <c r="C609" s="214"/>
      <c r="D609" s="214"/>
      <c r="E609" s="214"/>
      <c r="F609" s="214"/>
      <c r="G609" s="214"/>
      <c r="H609" s="214"/>
    </row>
    <row r="610" spans="2:8" x14ac:dyDescent="0.25">
      <c r="B610" s="38" t="s">
        <v>121</v>
      </c>
      <c r="C610" s="39" t="s">
        <v>122</v>
      </c>
      <c r="D610" s="38" t="s">
        <v>123</v>
      </c>
      <c r="E610" s="38" t="s">
        <v>124</v>
      </c>
      <c r="F610" s="84" t="s">
        <v>125</v>
      </c>
      <c r="G610" s="40" t="s">
        <v>126</v>
      </c>
      <c r="H610" s="41" t="s">
        <v>127</v>
      </c>
    </row>
    <row r="611" spans="2:8" ht="45" x14ac:dyDescent="0.25">
      <c r="B611" s="42" t="s">
        <v>1426</v>
      </c>
      <c r="C611" s="43" t="s">
        <v>1425</v>
      </c>
      <c r="D611" s="44" t="s">
        <v>421</v>
      </c>
      <c r="E611" s="38" t="s">
        <v>128</v>
      </c>
      <c r="F611" s="84"/>
      <c r="G611" s="40"/>
      <c r="H611" s="45">
        <f>SUM(H614:H617)</f>
        <v>149.78132499999998</v>
      </c>
    </row>
    <row r="612" spans="2:8" x14ac:dyDescent="0.25">
      <c r="B612" s="53" t="s">
        <v>666</v>
      </c>
      <c r="C612" s="47" t="s">
        <v>1148</v>
      </c>
      <c r="D612" s="69" t="s">
        <v>138</v>
      </c>
      <c r="E612" s="49" t="s">
        <v>272</v>
      </c>
      <c r="F612" s="71">
        <v>0.51900000000000002</v>
      </c>
      <c r="G612" s="88">
        <v>8.24</v>
      </c>
      <c r="H612" s="51">
        <f t="shared" ref="H612:H617" si="61">F612*G612</f>
        <v>4.2765599999999999</v>
      </c>
    </row>
    <row r="613" spans="2:8" x14ac:dyDescent="0.25">
      <c r="B613" s="53" t="s">
        <v>656</v>
      </c>
      <c r="C613" s="47" t="s">
        <v>1111</v>
      </c>
      <c r="D613" s="69" t="s">
        <v>138</v>
      </c>
      <c r="E613" s="49" t="s">
        <v>272</v>
      </c>
      <c r="F613" s="71">
        <v>0.25900000000000001</v>
      </c>
      <c r="G613" s="88">
        <v>4.8600000000000003</v>
      </c>
      <c r="H613" s="51">
        <f t="shared" si="61"/>
        <v>1.2587400000000002</v>
      </c>
    </row>
    <row r="614" spans="2:8" x14ac:dyDescent="0.25">
      <c r="B614" s="53"/>
      <c r="C614" s="43" t="s">
        <v>155</v>
      </c>
      <c r="D614" s="61" t="s">
        <v>156</v>
      </c>
      <c r="E614" s="38" t="s">
        <v>139</v>
      </c>
      <c r="F614" s="121">
        <v>1.3</v>
      </c>
      <c r="G614" s="51"/>
      <c r="H614" s="63">
        <f>(SUM(H612:H613))*(1+F614)</f>
        <v>12.73119</v>
      </c>
    </row>
    <row r="615" spans="2:8" ht="30" x14ac:dyDescent="0.25">
      <c r="B615" s="79" t="s">
        <v>358</v>
      </c>
      <c r="C615" s="47" t="s">
        <v>1427</v>
      </c>
      <c r="D615" s="69" t="s">
        <v>135</v>
      </c>
      <c r="E615" s="49" t="s">
        <v>159</v>
      </c>
      <c r="F615" s="71">
        <v>9.1999999999999993</v>
      </c>
      <c r="G615" s="51">
        <v>0.09</v>
      </c>
      <c r="H615" s="51">
        <f t="shared" si="61"/>
        <v>0.82799999999999996</v>
      </c>
    </row>
    <row r="616" spans="2:8" ht="30" x14ac:dyDescent="0.25">
      <c r="B616" s="79" t="s">
        <v>326</v>
      </c>
      <c r="C616" s="47" t="s">
        <v>1428</v>
      </c>
      <c r="D616" s="69" t="s">
        <v>168</v>
      </c>
      <c r="E616" s="49" t="s">
        <v>159</v>
      </c>
      <c r="F616" s="71">
        <v>0.69399999999999995</v>
      </c>
      <c r="G616" s="51">
        <v>182.14</v>
      </c>
      <c r="H616" s="51">
        <f t="shared" si="61"/>
        <v>126.40515999999998</v>
      </c>
    </row>
    <row r="617" spans="2:8" x14ac:dyDescent="0.25">
      <c r="B617" s="79" t="s">
        <v>480</v>
      </c>
      <c r="C617" s="47" t="s">
        <v>1429</v>
      </c>
      <c r="D617" s="69" t="s">
        <v>421</v>
      </c>
      <c r="E617" s="49" t="s">
        <v>159</v>
      </c>
      <c r="F617" s="71">
        <v>0.62329999999999997</v>
      </c>
      <c r="G617" s="82">
        <v>15.75</v>
      </c>
      <c r="H617" s="51">
        <f t="shared" si="61"/>
        <v>9.8169749999999993</v>
      </c>
    </row>
    <row r="618" spans="2:8" x14ac:dyDescent="0.25">
      <c r="B618" s="52" t="s">
        <v>130</v>
      </c>
      <c r="C618" s="192" t="s">
        <v>232</v>
      </c>
      <c r="D618" s="192"/>
      <c r="E618" s="192"/>
      <c r="F618" s="192"/>
      <c r="G618" s="192"/>
      <c r="H618" s="192"/>
    </row>
    <row r="620" spans="2:8" ht="15.75" x14ac:dyDescent="0.25">
      <c r="B620" s="227" t="s">
        <v>482</v>
      </c>
      <c r="C620" s="228"/>
      <c r="D620" s="228"/>
      <c r="E620" s="228"/>
      <c r="F620" s="228"/>
      <c r="G620" s="228"/>
      <c r="H620" s="228"/>
    </row>
    <row r="621" spans="2:8" x14ac:dyDescent="0.25">
      <c r="B621" s="38" t="s">
        <v>121</v>
      </c>
      <c r="C621" s="39" t="s">
        <v>122</v>
      </c>
      <c r="D621" s="38" t="s">
        <v>123</v>
      </c>
      <c r="E621" s="38" t="s">
        <v>124</v>
      </c>
      <c r="F621" s="84" t="s">
        <v>125</v>
      </c>
      <c r="G621" s="40" t="s">
        <v>126</v>
      </c>
      <c r="H621" s="41" t="s">
        <v>127</v>
      </c>
    </row>
    <row r="622" spans="2:8" x14ac:dyDescent="0.25">
      <c r="B622" s="42" t="s">
        <v>483</v>
      </c>
      <c r="C622" s="43" t="s">
        <v>484</v>
      </c>
      <c r="D622" s="44" t="s">
        <v>117</v>
      </c>
      <c r="E622" s="38" t="s">
        <v>128</v>
      </c>
      <c r="F622" s="84"/>
      <c r="G622" s="40"/>
      <c r="H622" s="45">
        <f>SUM(H625:H628)</f>
        <v>470.97500000000002</v>
      </c>
    </row>
    <row r="623" spans="2:8" x14ac:dyDescent="0.25">
      <c r="B623" s="53" t="s">
        <v>152</v>
      </c>
      <c r="C623" s="47" t="s">
        <v>422</v>
      </c>
      <c r="D623" s="69" t="s">
        <v>138</v>
      </c>
      <c r="E623" s="49" t="s">
        <v>272</v>
      </c>
      <c r="F623" s="71">
        <v>1.5</v>
      </c>
      <c r="G623" s="88">
        <v>8.24</v>
      </c>
      <c r="H623" s="51">
        <f t="shared" ref="H623:H628" si="62">F623*G623</f>
        <v>12.36</v>
      </c>
    </row>
    <row r="624" spans="2:8" x14ac:dyDescent="0.25">
      <c r="B624" s="53" t="s">
        <v>136</v>
      </c>
      <c r="C624" s="47" t="s">
        <v>137</v>
      </c>
      <c r="D624" s="69" t="s">
        <v>138</v>
      </c>
      <c r="E624" s="49" t="s">
        <v>272</v>
      </c>
      <c r="F624" s="71">
        <v>1</v>
      </c>
      <c r="G624" s="88">
        <v>4.8600000000000003</v>
      </c>
      <c r="H624" s="51">
        <f t="shared" si="62"/>
        <v>4.8600000000000003</v>
      </c>
    </row>
    <row r="625" spans="2:8" x14ac:dyDescent="0.25">
      <c r="B625" s="53"/>
      <c r="C625" s="43" t="s">
        <v>155</v>
      </c>
      <c r="D625" s="61" t="s">
        <v>156</v>
      </c>
      <c r="E625" s="38" t="s">
        <v>139</v>
      </c>
      <c r="F625" s="121">
        <v>1.3</v>
      </c>
      <c r="G625" s="51"/>
      <c r="H625" s="63">
        <f>(SUM(H623:H624))*(1+F625)</f>
        <v>39.605999999999995</v>
      </c>
    </row>
    <row r="626" spans="2:8" x14ac:dyDescent="0.25">
      <c r="B626" s="79" t="s">
        <v>358</v>
      </c>
      <c r="C626" s="47" t="s">
        <v>158</v>
      </c>
      <c r="D626" s="69" t="s">
        <v>135</v>
      </c>
      <c r="E626" s="49" t="s">
        <v>159</v>
      </c>
      <c r="F626" s="71">
        <v>4.8999999999999998E-3</v>
      </c>
      <c r="G626" s="51">
        <v>80</v>
      </c>
      <c r="H626" s="51">
        <f t="shared" si="62"/>
        <v>0.39200000000000002</v>
      </c>
    </row>
    <row r="627" spans="2:8" x14ac:dyDescent="0.25">
      <c r="B627" s="79" t="s">
        <v>326</v>
      </c>
      <c r="C627" s="47" t="s">
        <v>426</v>
      </c>
      <c r="D627" s="69" t="s">
        <v>168</v>
      </c>
      <c r="E627" s="49" t="s">
        <v>159</v>
      </c>
      <c r="F627" s="71">
        <v>1.94</v>
      </c>
      <c r="G627" s="51">
        <v>0.55000000000000004</v>
      </c>
      <c r="H627" s="51">
        <f t="shared" si="62"/>
        <v>1.0669999999999999</v>
      </c>
    </row>
    <row r="628" spans="2:8" x14ac:dyDescent="0.25">
      <c r="B628" s="79" t="s">
        <v>485</v>
      </c>
      <c r="C628" s="47" t="s">
        <v>486</v>
      </c>
      <c r="D628" s="69" t="s">
        <v>421</v>
      </c>
      <c r="E628" s="49" t="s">
        <v>159</v>
      </c>
      <c r="F628" s="71">
        <v>1</v>
      </c>
      <c r="G628" s="82">
        <v>429.91</v>
      </c>
      <c r="H628" s="51">
        <f t="shared" si="62"/>
        <v>429.91</v>
      </c>
    </row>
    <row r="629" spans="2:8" x14ac:dyDescent="0.25">
      <c r="B629" s="52" t="s">
        <v>130</v>
      </c>
      <c r="C629" s="192" t="s">
        <v>131</v>
      </c>
      <c r="D629" s="192"/>
      <c r="E629" s="192"/>
      <c r="F629" s="192"/>
      <c r="G629" s="192"/>
      <c r="H629" s="192"/>
    </row>
    <row r="632" spans="2:8" ht="15.75" x14ac:dyDescent="0.25">
      <c r="B632" s="227" t="s">
        <v>487</v>
      </c>
      <c r="C632" s="228"/>
      <c r="D632" s="228"/>
      <c r="E632" s="228"/>
      <c r="F632" s="228"/>
      <c r="G632" s="228"/>
      <c r="H632" s="228"/>
    </row>
    <row r="633" spans="2:8" x14ac:dyDescent="0.25">
      <c r="B633" s="38" t="s">
        <v>121</v>
      </c>
      <c r="C633" s="39" t="s">
        <v>122</v>
      </c>
      <c r="D633" s="38" t="s">
        <v>123</v>
      </c>
      <c r="E633" s="38" t="s">
        <v>124</v>
      </c>
      <c r="F633" s="84" t="s">
        <v>125</v>
      </c>
      <c r="G633" s="40" t="s">
        <v>126</v>
      </c>
      <c r="H633" s="41" t="s">
        <v>127</v>
      </c>
    </row>
    <row r="634" spans="2:8" x14ac:dyDescent="0.25">
      <c r="B634" s="42" t="s">
        <v>483</v>
      </c>
      <c r="C634" s="43" t="s">
        <v>484</v>
      </c>
      <c r="D634" s="44" t="s">
        <v>117</v>
      </c>
      <c r="E634" s="38" t="s">
        <v>128</v>
      </c>
      <c r="F634" s="84"/>
      <c r="G634" s="40"/>
      <c r="H634" s="45">
        <f>SUM(H637:H640)</f>
        <v>86.055000000000007</v>
      </c>
    </row>
    <row r="635" spans="2:8" x14ac:dyDescent="0.25">
      <c r="B635" s="53" t="s">
        <v>152</v>
      </c>
      <c r="C635" s="47" t="s">
        <v>422</v>
      </c>
      <c r="D635" s="69" t="s">
        <v>138</v>
      </c>
      <c r="E635" s="49" t="s">
        <v>272</v>
      </c>
      <c r="F635" s="71">
        <v>1.5</v>
      </c>
      <c r="G635" s="88">
        <v>8.24</v>
      </c>
      <c r="H635" s="51">
        <f t="shared" ref="H635:H640" si="63">F635*G635</f>
        <v>12.36</v>
      </c>
    </row>
    <row r="636" spans="2:8" x14ac:dyDescent="0.25">
      <c r="B636" s="53" t="s">
        <v>136</v>
      </c>
      <c r="C636" s="47" t="s">
        <v>137</v>
      </c>
      <c r="D636" s="69" t="s">
        <v>138</v>
      </c>
      <c r="E636" s="49" t="s">
        <v>272</v>
      </c>
      <c r="F636" s="71">
        <v>1</v>
      </c>
      <c r="G636" s="88">
        <v>4.8600000000000003</v>
      </c>
      <c r="H636" s="51">
        <f t="shared" si="63"/>
        <v>4.8600000000000003</v>
      </c>
    </row>
    <row r="637" spans="2:8" x14ac:dyDescent="0.25">
      <c r="B637" s="53"/>
      <c r="C637" s="43" t="s">
        <v>155</v>
      </c>
      <c r="D637" s="61" t="s">
        <v>156</v>
      </c>
      <c r="E637" s="38" t="s">
        <v>139</v>
      </c>
      <c r="F637" s="121">
        <v>1.3</v>
      </c>
      <c r="G637" s="51"/>
      <c r="H637" s="63">
        <f>(SUM(H635:H636))*(1+F637)</f>
        <v>39.605999999999995</v>
      </c>
    </row>
    <row r="638" spans="2:8" x14ac:dyDescent="0.25">
      <c r="B638" s="79" t="s">
        <v>358</v>
      </c>
      <c r="C638" s="47" t="s">
        <v>158</v>
      </c>
      <c r="D638" s="69" t="s">
        <v>135</v>
      </c>
      <c r="E638" s="49" t="s">
        <v>159</v>
      </c>
      <c r="F638" s="71">
        <v>4.8999999999999998E-3</v>
      </c>
      <c r="G638" s="51">
        <v>80</v>
      </c>
      <c r="H638" s="51">
        <f t="shared" si="63"/>
        <v>0.39200000000000002</v>
      </c>
    </row>
    <row r="639" spans="2:8" x14ac:dyDescent="0.25">
      <c r="B639" s="79" t="s">
        <v>326</v>
      </c>
      <c r="C639" s="47" t="s">
        <v>426</v>
      </c>
      <c r="D639" s="69" t="s">
        <v>168</v>
      </c>
      <c r="E639" s="49" t="s">
        <v>159</v>
      </c>
      <c r="F639" s="71">
        <v>1.94</v>
      </c>
      <c r="G639" s="51">
        <v>0.55000000000000004</v>
      </c>
      <c r="H639" s="51">
        <f t="shared" si="63"/>
        <v>1.0669999999999999</v>
      </c>
    </row>
    <row r="640" spans="2:8" x14ac:dyDescent="0.25">
      <c r="B640" s="79" t="s">
        <v>485</v>
      </c>
      <c r="C640" s="47" t="s">
        <v>486</v>
      </c>
      <c r="D640" s="69" t="s">
        <v>421</v>
      </c>
      <c r="E640" s="49" t="s">
        <v>159</v>
      </c>
      <c r="F640" s="71">
        <v>1</v>
      </c>
      <c r="G640" s="82">
        <v>44.99</v>
      </c>
      <c r="H640" s="51">
        <f t="shared" si="63"/>
        <v>44.99</v>
      </c>
    </row>
    <row r="641" spans="2:8" x14ac:dyDescent="0.25">
      <c r="B641" s="52" t="s">
        <v>130</v>
      </c>
      <c r="C641" s="192" t="s">
        <v>131</v>
      </c>
      <c r="D641" s="192"/>
      <c r="E641" s="192"/>
      <c r="F641" s="192"/>
      <c r="G641" s="192"/>
      <c r="H641" s="192"/>
    </row>
    <row r="644" spans="2:8" ht="15.75" x14ac:dyDescent="0.25">
      <c r="B644" s="218" t="s">
        <v>488</v>
      </c>
      <c r="C644" s="214"/>
      <c r="D644" s="214"/>
      <c r="E644" s="214"/>
      <c r="F644" s="214"/>
      <c r="G644" s="214"/>
      <c r="H644" s="214"/>
    </row>
    <row r="645" spans="2:8" x14ac:dyDescent="0.25">
      <c r="B645" s="38" t="s">
        <v>121</v>
      </c>
      <c r="C645" s="39" t="s">
        <v>122</v>
      </c>
      <c r="D645" s="38" t="s">
        <v>123</v>
      </c>
      <c r="E645" s="38" t="s">
        <v>124</v>
      </c>
      <c r="F645" s="84" t="s">
        <v>125</v>
      </c>
      <c r="G645" s="40" t="s">
        <v>126</v>
      </c>
      <c r="H645" s="41" t="s">
        <v>127</v>
      </c>
    </row>
    <row r="646" spans="2:8" ht="30" x14ac:dyDescent="0.25">
      <c r="B646" s="42" t="s">
        <v>740</v>
      </c>
      <c r="C646" s="43" t="s">
        <v>1165</v>
      </c>
      <c r="D646" s="44" t="s">
        <v>117</v>
      </c>
      <c r="E646" s="38" t="s">
        <v>128</v>
      </c>
      <c r="F646" s="84"/>
      <c r="G646" s="40"/>
      <c r="H646" s="45">
        <f>SUM(H649:H653)</f>
        <v>395.14246820000005</v>
      </c>
    </row>
    <row r="647" spans="2:8" x14ac:dyDescent="0.25">
      <c r="B647" s="53" t="s">
        <v>666</v>
      </c>
      <c r="C647" s="47" t="s">
        <v>1148</v>
      </c>
      <c r="D647" s="69" t="s">
        <v>138</v>
      </c>
      <c r="E647" s="49" t="s">
        <v>272</v>
      </c>
      <c r="F647" s="71">
        <v>0.3826</v>
      </c>
      <c r="G647" s="88">
        <v>8.24</v>
      </c>
      <c r="H647" s="51">
        <f t="shared" ref="H647:H653" si="64">F647*G647</f>
        <v>3.1526239999999999</v>
      </c>
    </row>
    <row r="648" spans="2:8" x14ac:dyDescent="0.25">
      <c r="B648" s="53" t="s">
        <v>656</v>
      </c>
      <c r="C648" s="47" t="s">
        <v>1111</v>
      </c>
      <c r="D648" s="69" t="s">
        <v>138</v>
      </c>
      <c r="E648" s="49" t="s">
        <v>272</v>
      </c>
      <c r="F648" s="71">
        <v>0.191</v>
      </c>
      <c r="G648" s="88">
        <v>4.8600000000000003</v>
      </c>
      <c r="H648" s="51">
        <f t="shared" si="64"/>
        <v>0.92826000000000009</v>
      </c>
    </row>
    <row r="649" spans="2:8" x14ac:dyDescent="0.25">
      <c r="B649" s="53"/>
      <c r="C649" s="43" t="s">
        <v>155</v>
      </c>
      <c r="D649" s="61" t="s">
        <v>156</v>
      </c>
      <c r="E649" s="38" t="s">
        <v>139</v>
      </c>
      <c r="F649" s="121">
        <v>1.3</v>
      </c>
      <c r="G649" s="51"/>
      <c r="H649" s="63">
        <f>(SUM(H647:H648))*(1+F649)</f>
        <v>9.3860332</v>
      </c>
    </row>
    <row r="650" spans="2:8" ht="30" x14ac:dyDescent="0.25">
      <c r="B650" s="53" t="s">
        <v>742</v>
      </c>
      <c r="C650" s="47" t="s">
        <v>1166</v>
      </c>
      <c r="D650" s="69" t="s">
        <v>123</v>
      </c>
      <c r="E650" s="49" t="s">
        <v>159</v>
      </c>
      <c r="F650" s="71">
        <v>0.54730000000000001</v>
      </c>
      <c r="G650" s="88">
        <v>610.86</v>
      </c>
      <c r="H650" s="51">
        <f t="shared" si="64"/>
        <v>334.32367800000003</v>
      </c>
    </row>
    <row r="651" spans="2:8" ht="30" x14ac:dyDescent="0.25">
      <c r="B651" s="79" t="s">
        <v>744</v>
      </c>
      <c r="C651" s="47" t="s">
        <v>1167</v>
      </c>
      <c r="D651" s="69" t="s">
        <v>123</v>
      </c>
      <c r="E651" s="49" t="s">
        <v>159</v>
      </c>
      <c r="F651" s="71">
        <v>4.8166000000000002</v>
      </c>
      <c r="G651" s="88">
        <v>0.55000000000000004</v>
      </c>
      <c r="H651" s="51">
        <f t="shared" si="64"/>
        <v>2.6491300000000004</v>
      </c>
    </row>
    <row r="652" spans="2:8" x14ac:dyDescent="0.25">
      <c r="B652" s="79" t="s">
        <v>746</v>
      </c>
      <c r="C652" s="47" t="s">
        <v>747</v>
      </c>
      <c r="D652" s="69" t="s">
        <v>489</v>
      </c>
      <c r="E652" s="49" t="s">
        <v>159</v>
      </c>
      <c r="F652" s="71">
        <v>0.88290000000000002</v>
      </c>
      <c r="G652" s="88">
        <v>23.83</v>
      </c>
      <c r="H652" s="51">
        <f t="shared" si="64"/>
        <v>21.039507</v>
      </c>
    </row>
    <row r="653" spans="2:8" ht="30" x14ac:dyDescent="0.25">
      <c r="B653" s="79" t="s">
        <v>748</v>
      </c>
      <c r="C653" s="47" t="s">
        <v>1168</v>
      </c>
      <c r="D653" s="69" t="s">
        <v>143</v>
      </c>
      <c r="E653" s="49" t="s">
        <v>159</v>
      </c>
      <c r="F653" s="71">
        <v>6.8503999999999996</v>
      </c>
      <c r="G653" s="88">
        <v>4.05</v>
      </c>
      <c r="H653" s="51">
        <f t="shared" si="64"/>
        <v>27.744119999999999</v>
      </c>
    </row>
    <row r="654" spans="2:8" x14ac:dyDescent="0.25">
      <c r="B654" s="52" t="s">
        <v>130</v>
      </c>
      <c r="C654" s="192" t="s">
        <v>232</v>
      </c>
      <c r="D654" s="192"/>
      <c r="E654" s="192"/>
      <c r="F654" s="192"/>
      <c r="G654" s="192"/>
      <c r="H654" s="192"/>
    </row>
    <row r="657" spans="2:8" ht="15.75" x14ac:dyDescent="0.25">
      <c r="B657" s="218" t="s">
        <v>490</v>
      </c>
      <c r="C657" s="214"/>
      <c r="D657" s="214"/>
      <c r="E657" s="214"/>
      <c r="F657" s="214"/>
      <c r="G657" s="214"/>
      <c r="H657" s="214"/>
    </row>
    <row r="658" spans="2:8" x14ac:dyDescent="0.25">
      <c r="B658" s="38" t="s">
        <v>121</v>
      </c>
      <c r="C658" s="39" t="s">
        <v>122</v>
      </c>
      <c r="D658" s="38" t="s">
        <v>123</v>
      </c>
      <c r="E658" s="38" t="s">
        <v>124</v>
      </c>
      <c r="F658" s="84" t="s">
        <v>125</v>
      </c>
      <c r="G658" s="40" t="s">
        <v>126</v>
      </c>
      <c r="H658" s="41" t="s">
        <v>127</v>
      </c>
    </row>
    <row r="659" spans="2:8" ht="30" x14ac:dyDescent="0.25">
      <c r="B659" s="42" t="s">
        <v>1447</v>
      </c>
      <c r="C659" s="43" t="s">
        <v>1430</v>
      </c>
      <c r="D659" s="44" t="s">
        <v>117</v>
      </c>
      <c r="E659" s="38" t="s">
        <v>128</v>
      </c>
      <c r="F659" s="84"/>
      <c r="G659" s="40"/>
      <c r="H659" s="45">
        <f>SUM(H662:H666)</f>
        <v>312.10380000000004</v>
      </c>
    </row>
    <row r="660" spans="2:8" x14ac:dyDescent="0.25">
      <c r="B660" s="53" t="s">
        <v>666</v>
      </c>
      <c r="C660" s="47" t="s">
        <v>1148</v>
      </c>
      <c r="D660" s="69" t="s">
        <v>138</v>
      </c>
      <c r="E660" s="49" t="s">
        <v>272</v>
      </c>
      <c r="F660" s="128">
        <v>0.28199999999999997</v>
      </c>
      <c r="G660" s="88">
        <v>8.24</v>
      </c>
      <c r="H660" s="51">
        <f t="shared" ref="H660:H666" si="65">F660*G660</f>
        <v>2.32368</v>
      </c>
    </row>
    <row r="661" spans="2:8" x14ac:dyDescent="0.25">
      <c r="B661" s="53" t="s">
        <v>656</v>
      </c>
      <c r="C661" s="47" t="s">
        <v>1111</v>
      </c>
      <c r="D661" s="69" t="s">
        <v>138</v>
      </c>
      <c r="E661" s="49" t="s">
        <v>272</v>
      </c>
      <c r="F661" s="71">
        <v>0.14099999999999999</v>
      </c>
      <c r="G661" s="88">
        <v>4.8600000000000003</v>
      </c>
      <c r="H661" s="51">
        <f t="shared" si="65"/>
        <v>0.68525999999999998</v>
      </c>
    </row>
    <row r="662" spans="2:8" x14ac:dyDescent="0.25">
      <c r="B662" s="53"/>
      <c r="C662" s="43" t="s">
        <v>155</v>
      </c>
      <c r="D662" s="61" t="s">
        <v>156</v>
      </c>
      <c r="E662" s="38" t="s">
        <v>139</v>
      </c>
      <c r="F662" s="121">
        <v>1.3</v>
      </c>
      <c r="G662" s="51"/>
      <c r="H662" s="63">
        <f>(SUM(H660:H661))*(1+F662)</f>
        <v>6.9205619999999994</v>
      </c>
    </row>
    <row r="663" spans="2:8" x14ac:dyDescent="0.25">
      <c r="B663" s="53" t="s">
        <v>1434</v>
      </c>
      <c r="C663" s="47" t="s">
        <v>1431</v>
      </c>
      <c r="D663" s="69" t="s">
        <v>489</v>
      </c>
      <c r="E663" s="49" t="s">
        <v>159</v>
      </c>
      <c r="F663" s="71">
        <v>6.3700000000000007E-2</v>
      </c>
      <c r="G663" s="51">
        <v>25.94</v>
      </c>
      <c r="H663" s="51">
        <f t="shared" si="65"/>
        <v>1.6523780000000003</v>
      </c>
    </row>
    <row r="664" spans="2:8" ht="30" x14ac:dyDescent="0.25">
      <c r="B664" s="79" t="s">
        <v>1433</v>
      </c>
      <c r="C664" s="47" t="s">
        <v>1432</v>
      </c>
      <c r="D664" s="69" t="s">
        <v>117</v>
      </c>
      <c r="E664" s="49" t="s">
        <v>159</v>
      </c>
      <c r="F664" s="71">
        <v>1</v>
      </c>
      <c r="G664" s="88">
        <v>292.36</v>
      </c>
      <c r="H664" s="51">
        <f t="shared" si="65"/>
        <v>292.36</v>
      </c>
    </row>
    <row r="665" spans="2:8" ht="30" x14ac:dyDescent="0.25">
      <c r="B665" s="79" t="s">
        <v>1436</v>
      </c>
      <c r="C665" s="47" t="s">
        <v>1435</v>
      </c>
      <c r="D665" s="69" t="s">
        <v>123</v>
      </c>
      <c r="E665" s="49" t="s">
        <v>159</v>
      </c>
      <c r="F665" s="71">
        <v>4.72</v>
      </c>
      <c r="G665" s="88">
        <v>0.3</v>
      </c>
      <c r="H665" s="51">
        <f t="shared" si="65"/>
        <v>1.4159999999999999</v>
      </c>
    </row>
    <row r="666" spans="2:8" ht="39.75" customHeight="1" x14ac:dyDescent="0.25">
      <c r="B666" s="79" t="s">
        <v>1446</v>
      </c>
      <c r="C666" s="47" t="s">
        <v>1437</v>
      </c>
      <c r="D666" s="69" t="s">
        <v>143</v>
      </c>
      <c r="E666" s="49" t="s">
        <v>159</v>
      </c>
      <c r="F666" s="128">
        <v>2.202</v>
      </c>
      <c r="G666" s="51">
        <v>4.43</v>
      </c>
      <c r="H666" s="51">
        <f t="shared" si="65"/>
        <v>9.754859999999999</v>
      </c>
    </row>
    <row r="667" spans="2:8" x14ac:dyDescent="0.25">
      <c r="B667" s="52" t="s">
        <v>130</v>
      </c>
      <c r="C667" s="192" t="s">
        <v>232</v>
      </c>
      <c r="D667" s="192"/>
      <c r="E667" s="192"/>
      <c r="F667" s="192"/>
      <c r="G667" s="192"/>
      <c r="H667" s="192"/>
    </row>
    <row r="670" spans="2:8" ht="15.75" x14ac:dyDescent="0.25">
      <c r="B670" s="218" t="s">
        <v>495</v>
      </c>
      <c r="C670" s="214"/>
      <c r="D670" s="214"/>
      <c r="E670" s="214"/>
      <c r="F670" s="214"/>
      <c r="G670" s="214"/>
      <c r="H670" s="214"/>
    </row>
    <row r="671" spans="2:8" x14ac:dyDescent="0.25">
      <c r="B671" s="38" t="s">
        <v>121</v>
      </c>
      <c r="C671" s="39" t="s">
        <v>122</v>
      </c>
      <c r="D671" s="38" t="s">
        <v>123</v>
      </c>
      <c r="E671" s="38" t="s">
        <v>124</v>
      </c>
      <c r="F671" s="84" t="s">
        <v>125</v>
      </c>
      <c r="G671" s="40" t="s">
        <v>126</v>
      </c>
      <c r="H671" s="41" t="s">
        <v>127</v>
      </c>
    </row>
    <row r="672" spans="2:8" ht="30" x14ac:dyDescent="0.25">
      <c r="B672" s="42" t="s">
        <v>496</v>
      </c>
      <c r="C672" s="43" t="s">
        <v>1443</v>
      </c>
      <c r="D672" s="44" t="s">
        <v>143</v>
      </c>
      <c r="E672" s="38" t="s">
        <v>128</v>
      </c>
      <c r="F672" s="84"/>
      <c r="G672" s="40"/>
      <c r="H672" s="45">
        <f>SUM(H675:H677)</f>
        <v>165.7901</v>
      </c>
    </row>
    <row r="673" spans="2:8" x14ac:dyDescent="0.25">
      <c r="B673" s="53" t="s">
        <v>666</v>
      </c>
      <c r="C673" s="47" t="s">
        <v>1148</v>
      </c>
      <c r="D673" s="69" t="s">
        <v>138</v>
      </c>
      <c r="E673" s="49" t="s">
        <v>272</v>
      </c>
      <c r="F673" s="71">
        <v>1</v>
      </c>
      <c r="G673" s="88">
        <v>8.24</v>
      </c>
      <c r="H673" s="51">
        <f t="shared" ref="H673:H674" si="66">F673*G673</f>
        <v>8.24</v>
      </c>
    </row>
    <row r="674" spans="2:8" x14ac:dyDescent="0.25">
      <c r="B674" s="53" t="s">
        <v>656</v>
      </c>
      <c r="C674" s="47" t="s">
        <v>1111</v>
      </c>
      <c r="D674" s="69" t="s">
        <v>138</v>
      </c>
      <c r="E674" s="49" t="s">
        <v>272</v>
      </c>
      <c r="F674" s="71">
        <v>1</v>
      </c>
      <c r="G674" s="88">
        <v>4.8600000000000003</v>
      </c>
      <c r="H674" s="51">
        <f t="shared" si="66"/>
        <v>4.8600000000000003</v>
      </c>
    </row>
    <row r="675" spans="2:8" x14ac:dyDescent="0.25">
      <c r="B675" s="53"/>
      <c r="C675" s="43" t="s">
        <v>155</v>
      </c>
      <c r="D675" s="61" t="s">
        <v>156</v>
      </c>
      <c r="E675" s="38" t="s">
        <v>139</v>
      </c>
      <c r="F675" s="121">
        <v>1.3</v>
      </c>
      <c r="G675" s="51"/>
      <c r="H675" s="63">
        <f>(SUM(H673:H674))*(1+F675)</f>
        <v>30.130000000000003</v>
      </c>
    </row>
    <row r="676" spans="2:8" ht="30" x14ac:dyDescent="0.25">
      <c r="B676" s="53" t="s">
        <v>1450</v>
      </c>
      <c r="C676" s="47" t="s">
        <v>1448</v>
      </c>
      <c r="D676" s="61"/>
      <c r="E676" s="49" t="s">
        <v>159</v>
      </c>
      <c r="F676" s="71">
        <v>1</v>
      </c>
      <c r="G676" s="131">
        <v>130.36000000000001</v>
      </c>
      <c r="H676" s="51">
        <f t="shared" ref="H676" si="67">F676*G676</f>
        <v>130.36000000000001</v>
      </c>
    </row>
    <row r="677" spans="2:8" ht="30" customHeight="1" x14ac:dyDescent="0.25">
      <c r="B677" s="79" t="s">
        <v>1449</v>
      </c>
      <c r="C677" s="47" t="s">
        <v>1445</v>
      </c>
      <c r="D677" s="69" t="s">
        <v>135</v>
      </c>
      <c r="E677" s="49" t="s">
        <v>159</v>
      </c>
      <c r="F677" s="71">
        <v>1.4999999999999999E-2</v>
      </c>
      <c r="G677" s="88">
        <v>353.34</v>
      </c>
      <c r="H677" s="51">
        <f>F677*G677</f>
        <v>5.3000999999999996</v>
      </c>
    </row>
    <row r="678" spans="2:8" x14ac:dyDescent="0.25">
      <c r="B678" s="52" t="s">
        <v>130</v>
      </c>
      <c r="C678" s="192" t="s">
        <v>321</v>
      </c>
      <c r="D678" s="192"/>
      <c r="E678" s="192"/>
      <c r="F678" s="192"/>
      <c r="G678" s="192"/>
      <c r="H678" s="192"/>
    </row>
    <row r="681" spans="2:8" ht="15.75" x14ac:dyDescent="0.25">
      <c r="B681" s="218" t="s">
        <v>504</v>
      </c>
      <c r="C681" s="214"/>
      <c r="D681" s="214"/>
      <c r="E681" s="214"/>
      <c r="F681" s="214"/>
      <c r="G681" s="214"/>
      <c r="H681" s="214"/>
    </row>
    <row r="682" spans="2:8" x14ac:dyDescent="0.25">
      <c r="B682" s="38" t="s">
        <v>121</v>
      </c>
      <c r="C682" s="39" t="s">
        <v>122</v>
      </c>
      <c r="D682" s="38" t="s">
        <v>123</v>
      </c>
      <c r="E682" s="38" t="s">
        <v>124</v>
      </c>
      <c r="F682" s="84" t="s">
        <v>125</v>
      </c>
      <c r="G682" s="40" t="s">
        <v>126</v>
      </c>
      <c r="H682" s="41" t="s">
        <v>127</v>
      </c>
    </row>
    <row r="683" spans="2:8" x14ac:dyDescent="0.25">
      <c r="B683" s="42" t="s">
        <v>750</v>
      </c>
      <c r="C683" s="43" t="s">
        <v>751</v>
      </c>
      <c r="D683" s="44" t="s">
        <v>117</v>
      </c>
      <c r="E683" s="38" t="s">
        <v>128</v>
      </c>
      <c r="F683" s="84"/>
      <c r="G683" s="40"/>
      <c r="H683" s="45">
        <f>SUM(H686:H688)</f>
        <v>245.54759999999999</v>
      </c>
    </row>
    <row r="684" spans="2:8" x14ac:dyDescent="0.25">
      <c r="B684" s="53" t="s">
        <v>656</v>
      </c>
      <c r="C684" s="47" t="s">
        <v>1111</v>
      </c>
      <c r="D684" s="69" t="s">
        <v>138</v>
      </c>
      <c r="E684" s="49" t="s">
        <v>272</v>
      </c>
      <c r="F684" s="71">
        <v>0.2</v>
      </c>
      <c r="G684" s="88">
        <v>4.8600000000000003</v>
      </c>
      <c r="H684" s="51">
        <f t="shared" ref="H684:H688" si="68">F684*G684</f>
        <v>0.97200000000000009</v>
      </c>
    </row>
    <row r="685" spans="2:8" x14ac:dyDescent="0.25">
      <c r="B685" s="53" t="s">
        <v>752</v>
      </c>
      <c r="C685" s="47" t="s">
        <v>1169</v>
      </c>
      <c r="D685" s="69" t="s">
        <v>138</v>
      </c>
      <c r="E685" s="49" t="s">
        <v>272</v>
      </c>
      <c r="F685" s="71">
        <v>1</v>
      </c>
      <c r="G685" s="88">
        <v>8.24</v>
      </c>
      <c r="H685" s="51">
        <f t="shared" si="68"/>
        <v>8.24</v>
      </c>
    </row>
    <row r="686" spans="2:8" x14ac:dyDescent="0.25">
      <c r="B686" s="53"/>
      <c r="C686" s="43" t="s">
        <v>155</v>
      </c>
      <c r="D686" s="61" t="s">
        <v>156</v>
      </c>
      <c r="E686" s="38" t="s">
        <v>139</v>
      </c>
      <c r="F686" s="121">
        <v>1.3</v>
      </c>
      <c r="G686" s="51"/>
      <c r="H686" s="63">
        <f>(SUM(H684:H685))*(1+F686)</f>
        <v>21.187599999999996</v>
      </c>
    </row>
    <row r="687" spans="2:8" x14ac:dyDescent="0.25">
      <c r="B687" s="53" t="s">
        <v>753</v>
      </c>
      <c r="C687" s="47" t="s">
        <v>1170</v>
      </c>
      <c r="D687" s="69" t="s">
        <v>168</v>
      </c>
      <c r="E687" s="49" t="s">
        <v>159</v>
      </c>
      <c r="F687" s="71">
        <v>2</v>
      </c>
      <c r="G687" s="88">
        <v>9.24</v>
      </c>
      <c r="H687" s="51">
        <f t="shared" si="68"/>
        <v>18.48</v>
      </c>
    </row>
    <row r="688" spans="2:8" x14ac:dyDescent="0.25">
      <c r="B688" s="79" t="s">
        <v>755</v>
      </c>
      <c r="C688" s="47" t="s">
        <v>1171</v>
      </c>
      <c r="D688" s="69" t="s">
        <v>117</v>
      </c>
      <c r="E688" s="49" t="s">
        <v>159</v>
      </c>
      <c r="F688" s="71">
        <v>1</v>
      </c>
      <c r="G688" s="88">
        <v>205.88</v>
      </c>
      <c r="H688" s="51">
        <f t="shared" si="68"/>
        <v>205.88</v>
      </c>
    </row>
    <row r="689" spans="2:8" x14ac:dyDescent="0.25">
      <c r="B689" s="52" t="s">
        <v>130</v>
      </c>
      <c r="C689" s="192" t="s">
        <v>232</v>
      </c>
      <c r="D689" s="192"/>
      <c r="E689" s="192"/>
      <c r="F689" s="192"/>
      <c r="G689" s="192"/>
      <c r="H689" s="192"/>
    </row>
    <row r="692" spans="2:8" ht="15.75" x14ac:dyDescent="0.25">
      <c r="B692" s="218" t="s">
        <v>505</v>
      </c>
      <c r="C692" s="214"/>
      <c r="D692" s="214"/>
      <c r="E692" s="214"/>
      <c r="F692" s="214"/>
      <c r="G692" s="214"/>
      <c r="H692" s="214"/>
    </row>
    <row r="693" spans="2:8" x14ac:dyDescent="0.25">
      <c r="B693" s="38" t="s">
        <v>121</v>
      </c>
      <c r="C693" s="39" t="s">
        <v>122</v>
      </c>
      <c r="D693" s="38" t="s">
        <v>123</v>
      </c>
      <c r="E693" s="38" t="s">
        <v>124</v>
      </c>
      <c r="F693" s="84" t="s">
        <v>125</v>
      </c>
      <c r="G693" s="40" t="s">
        <v>126</v>
      </c>
      <c r="H693" s="41" t="s">
        <v>127</v>
      </c>
    </row>
    <row r="694" spans="2:8" x14ac:dyDescent="0.25">
      <c r="B694" s="42" t="s">
        <v>750</v>
      </c>
      <c r="C694" s="43" t="s">
        <v>751</v>
      </c>
      <c r="D694" s="44" t="s">
        <v>117</v>
      </c>
      <c r="E694" s="38" t="s">
        <v>128</v>
      </c>
      <c r="F694" s="84"/>
      <c r="G694" s="40"/>
      <c r="H694" s="45">
        <f>SUM(H697:H699)</f>
        <v>245.54759999999999</v>
      </c>
    </row>
    <row r="695" spans="2:8" x14ac:dyDescent="0.25">
      <c r="B695" s="53" t="s">
        <v>656</v>
      </c>
      <c r="C695" s="47" t="s">
        <v>1111</v>
      </c>
      <c r="D695" s="69" t="s">
        <v>138</v>
      </c>
      <c r="E695" s="49" t="s">
        <v>272</v>
      </c>
      <c r="F695" s="71">
        <v>0.2</v>
      </c>
      <c r="G695" s="88">
        <v>4.8600000000000003</v>
      </c>
      <c r="H695" s="51">
        <f t="shared" ref="H695:H699" si="69">F695*G695</f>
        <v>0.97200000000000009</v>
      </c>
    </row>
    <row r="696" spans="2:8" x14ac:dyDescent="0.25">
      <c r="B696" s="53" t="s">
        <v>752</v>
      </c>
      <c r="C696" s="47" t="s">
        <v>1169</v>
      </c>
      <c r="D696" s="69" t="s">
        <v>138</v>
      </c>
      <c r="E696" s="49" t="s">
        <v>272</v>
      </c>
      <c r="F696" s="71">
        <v>1</v>
      </c>
      <c r="G696" s="88">
        <v>8.24</v>
      </c>
      <c r="H696" s="51">
        <f t="shared" si="69"/>
        <v>8.24</v>
      </c>
    </row>
    <row r="697" spans="2:8" x14ac:dyDescent="0.25">
      <c r="B697" s="53"/>
      <c r="C697" s="43" t="s">
        <v>155</v>
      </c>
      <c r="D697" s="61" t="s">
        <v>156</v>
      </c>
      <c r="E697" s="38" t="s">
        <v>139</v>
      </c>
      <c r="F697" s="121">
        <v>1.3</v>
      </c>
      <c r="G697" s="51"/>
      <c r="H697" s="63">
        <f>(SUM(H695:H696))*(1+F697)</f>
        <v>21.187599999999996</v>
      </c>
    </row>
    <row r="698" spans="2:8" x14ac:dyDescent="0.25">
      <c r="B698" s="53" t="s">
        <v>753</v>
      </c>
      <c r="C698" s="47" t="s">
        <v>1170</v>
      </c>
      <c r="D698" s="69" t="s">
        <v>168</v>
      </c>
      <c r="E698" s="49" t="s">
        <v>159</v>
      </c>
      <c r="F698" s="71">
        <v>2</v>
      </c>
      <c r="G698" s="88">
        <v>9.24</v>
      </c>
      <c r="H698" s="51">
        <f t="shared" si="69"/>
        <v>18.48</v>
      </c>
    </row>
    <row r="699" spans="2:8" x14ac:dyDescent="0.25">
      <c r="B699" s="79" t="s">
        <v>755</v>
      </c>
      <c r="C699" s="47" t="s">
        <v>1171</v>
      </c>
      <c r="D699" s="69" t="s">
        <v>117</v>
      </c>
      <c r="E699" s="49" t="s">
        <v>159</v>
      </c>
      <c r="F699" s="71">
        <v>1</v>
      </c>
      <c r="G699" s="88">
        <v>205.88</v>
      </c>
      <c r="H699" s="51">
        <f t="shared" si="69"/>
        <v>205.88</v>
      </c>
    </row>
    <row r="700" spans="2:8" x14ac:dyDescent="0.25">
      <c r="B700" s="52" t="s">
        <v>130</v>
      </c>
      <c r="C700" s="192" t="s">
        <v>232</v>
      </c>
      <c r="D700" s="192"/>
      <c r="E700" s="192"/>
      <c r="F700" s="192"/>
      <c r="G700" s="192"/>
      <c r="H700" s="192"/>
    </row>
    <row r="701" spans="2:8" x14ac:dyDescent="0.25">
      <c r="B701" s="75"/>
      <c r="C701" s="76"/>
      <c r="D701" s="76"/>
      <c r="E701" s="76"/>
      <c r="F701" s="124"/>
      <c r="G701" s="76"/>
      <c r="H701" s="76"/>
    </row>
    <row r="703" spans="2:8" ht="15.75" x14ac:dyDescent="0.25">
      <c r="B703" s="218" t="s">
        <v>506</v>
      </c>
      <c r="C703" s="214"/>
      <c r="D703" s="214"/>
      <c r="E703" s="214"/>
      <c r="F703" s="214"/>
      <c r="G703" s="214"/>
      <c r="H703" s="214"/>
    </row>
    <row r="704" spans="2:8" x14ac:dyDescent="0.25">
      <c r="B704" s="38" t="s">
        <v>121</v>
      </c>
      <c r="C704" s="39" t="s">
        <v>122</v>
      </c>
      <c r="D704" s="38" t="s">
        <v>123</v>
      </c>
      <c r="E704" s="38" t="s">
        <v>124</v>
      </c>
      <c r="F704" s="84" t="s">
        <v>125</v>
      </c>
      <c r="G704" s="40" t="s">
        <v>126</v>
      </c>
      <c r="H704" s="41" t="s">
        <v>127</v>
      </c>
    </row>
    <row r="705" spans="2:8" ht="30" x14ac:dyDescent="0.25">
      <c r="B705" s="42" t="s">
        <v>757</v>
      </c>
      <c r="C705" s="43" t="s">
        <v>758</v>
      </c>
      <c r="D705" s="44" t="s">
        <v>117</v>
      </c>
      <c r="E705" s="38" t="s">
        <v>128</v>
      </c>
      <c r="F705" s="84"/>
      <c r="G705" s="40"/>
      <c r="H705" s="45">
        <f>SUM(H708:H710)</f>
        <v>174.85500000000002</v>
      </c>
    </row>
    <row r="706" spans="2:8" x14ac:dyDescent="0.25">
      <c r="B706" s="53" t="s">
        <v>656</v>
      </c>
      <c r="C706" s="47" t="s">
        <v>1111</v>
      </c>
      <c r="D706" s="69" t="s">
        <v>138</v>
      </c>
      <c r="E706" s="49" t="s">
        <v>272</v>
      </c>
      <c r="F706" s="73">
        <v>0.5</v>
      </c>
      <c r="G706" s="88">
        <v>4.8600000000000003</v>
      </c>
      <c r="H706" s="51">
        <f t="shared" ref="H706:H710" si="70">F706*G706</f>
        <v>2.4300000000000002</v>
      </c>
    </row>
    <row r="707" spans="2:8" x14ac:dyDescent="0.25">
      <c r="B707" s="53" t="s">
        <v>752</v>
      </c>
      <c r="C707" s="47" t="s">
        <v>1169</v>
      </c>
      <c r="D707" s="69" t="s">
        <v>138</v>
      </c>
      <c r="E707" s="49" t="s">
        <v>272</v>
      </c>
      <c r="F707" s="73">
        <v>0.5</v>
      </c>
      <c r="G707" s="88">
        <v>8.24</v>
      </c>
      <c r="H707" s="51">
        <f t="shared" si="70"/>
        <v>4.12</v>
      </c>
    </row>
    <row r="708" spans="2:8" x14ac:dyDescent="0.25">
      <c r="B708" s="53"/>
      <c r="C708" s="43" t="s">
        <v>155</v>
      </c>
      <c r="D708" s="61" t="s">
        <v>156</v>
      </c>
      <c r="E708" s="38" t="s">
        <v>139</v>
      </c>
      <c r="F708" s="121">
        <v>1.3</v>
      </c>
      <c r="G708" s="51"/>
      <c r="H708" s="63">
        <f>(SUM(H706:H707))*(1+F708)</f>
        <v>15.065000000000001</v>
      </c>
    </row>
    <row r="709" spans="2:8" x14ac:dyDescent="0.25">
      <c r="B709" s="53" t="s">
        <v>753</v>
      </c>
      <c r="C709" s="47" t="s">
        <v>1170</v>
      </c>
      <c r="D709" s="69" t="s">
        <v>168</v>
      </c>
      <c r="E709" s="49" t="s">
        <v>159</v>
      </c>
      <c r="F709" s="73">
        <v>1.5</v>
      </c>
      <c r="G709" s="88">
        <v>9.24</v>
      </c>
      <c r="H709" s="51">
        <f t="shared" si="70"/>
        <v>13.86</v>
      </c>
    </row>
    <row r="710" spans="2:8" x14ac:dyDescent="0.25">
      <c r="B710" s="79" t="s">
        <v>759</v>
      </c>
      <c r="C710" s="47" t="s">
        <v>1172</v>
      </c>
      <c r="D710" s="69" t="s">
        <v>117</v>
      </c>
      <c r="E710" s="49" t="s">
        <v>159</v>
      </c>
      <c r="F710" s="73">
        <v>1</v>
      </c>
      <c r="G710" s="88">
        <v>145.93</v>
      </c>
      <c r="H710" s="51">
        <f t="shared" si="70"/>
        <v>145.93</v>
      </c>
    </row>
    <row r="711" spans="2:8" x14ac:dyDescent="0.25">
      <c r="B711" s="52" t="s">
        <v>130</v>
      </c>
      <c r="C711" s="192" t="s">
        <v>232</v>
      </c>
      <c r="D711" s="192"/>
      <c r="E711" s="192"/>
      <c r="F711" s="192"/>
      <c r="G711" s="192"/>
      <c r="H711" s="192"/>
    </row>
    <row r="714" spans="2:8" ht="15.75" x14ac:dyDescent="0.25">
      <c r="B714" s="202" t="s">
        <v>507</v>
      </c>
      <c r="C714" s="203"/>
      <c r="D714" s="203"/>
      <c r="E714" s="203"/>
      <c r="F714" s="203"/>
      <c r="G714" s="203"/>
      <c r="H714" s="203"/>
    </row>
    <row r="715" spans="2:8" x14ac:dyDescent="0.25">
      <c r="B715" s="38" t="s">
        <v>121</v>
      </c>
      <c r="C715" s="39" t="s">
        <v>122</v>
      </c>
      <c r="D715" s="38" t="s">
        <v>123</v>
      </c>
      <c r="E715" s="38" t="s">
        <v>124</v>
      </c>
      <c r="F715" s="84" t="s">
        <v>125</v>
      </c>
      <c r="G715" s="40" t="s">
        <v>126</v>
      </c>
      <c r="H715" s="41" t="s">
        <v>127</v>
      </c>
    </row>
    <row r="716" spans="2:8" x14ac:dyDescent="0.25">
      <c r="B716" s="42"/>
      <c r="C716" s="43"/>
      <c r="D716" s="44" t="s">
        <v>123</v>
      </c>
      <c r="E716" s="38" t="s">
        <v>128</v>
      </c>
      <c r="F716" s="84"/>
      <c r="G716" s="40"/>
      <c r="H716" s="45">
        <f>SUM(H717:H719)</f>
        <v>0</v>
      </c>
    </row>
    <row r="717" spans="2:8" x14ac:dyDescent="0.25">
      <c r="B717" s="53"/>
      <c r="C717" s="47"/>
      <c r="D717" s="69"/>
      <c r="E717" s="49"/>
      <c r="F717" s="71"/>
      <c r="G717" s="40"/>
      <c r="H717" s="51">
        <f t="shared" ref="H717:H719" si="71">F717*G717</f>
        <v>0</v>
      </c>
    </row>
    <row r="718" spans="2:8" x14ac:dyDescent="0.25">
      <c r="B718" s="53"/>
      <c r="C718" s="47"/>
      <c r="D718" s="69"/>
      <c r="E718" s="49"/>
      <c r="F718" s="71"/>
      <c r="G718" s="40"/>
      <c r="H718" s="51">
        <f t="shared" si="71"/>
        <v>0</v>
      </c>
    </row>
    <row r="719" spans="2:8" x14ac:dyDescent="0.25">
      <c r="B719" s="79"/>
      <c r="C719" s="47"/>
      <c r="D719" s="69"/>
      <c r="E719" s="49"/>
      <c r="F719" s="71"/>
      <c r="G719" s="40"/>
      <c r="H719" s="51">
        <f t="shared" si="71"/>
        <v>0</v>
      </c>
    </row>
    <row r="720" spans="2:8" x14ac:dyDescent="0.25">
      <c r="B720" s="52" t="s">
        <v>130</v>
      </c>
      <c r="C720" s="192"/>
      <c r="D720" s="192"/>
      <c r="E720" s="192"/>
      <c r="F720" s="192"/>
      <c r="G720" s="192"/>
      <c r="H720" s="192"/>
    </row>
    <row r="723" spans="2:8" ht="15.75" x14ac:dyDescent="0.25">
      <c r="B723" s="218" t="s">
        <v>508</v>
      </c>
      <c r="C723" s="214"/>
      <c r="D723" s="214"/>
      <c r="E723" s="214"/>
      <c r="F723" s="214"/>
      <c r="G723" s="214"/>
      <c r="H723" s="214"/>
    </row>
    <row r="724" spans="2:8" x14ac:dyDescent="0.25">
      <c r="B724" s="38" t="s">
        <v>121</v>
      </c>
      <c r="C724" s="39" t="s">
        <v>122</v>
      </c>
      <c r="D724" s="38" t="s">
        <v>123</v>
      </c>
      <c r="E724" s="38" t="s">
        <v>124</v>
      </c>
      <c r="F724" s="84" t="s">
        <v>125</v>
      </c>
      <c r="G724" s="40" t="s">
        <v>126</v>
      </c>
      <c r="H724" s="41" t="s">
        <v>127</v>
      </c>
    </row>
    <row r="725" spans="2:8" x14ac:dyDescent="0.25">
      <c r="B725" s="42" t="s">
        <v>761</v>
      </c>
      <c r="C725" s="43" t="s">
        <v>762</v>
      </c>
      <c r="D725" s="44" t="s">
        <v>123</v>
      </c>
      <c r="E725" s="38" t="s">
        <v>128</v>
      </c>
      <c r="F725" s="84"/>
      <c r="G725" s="40"/>
      <c r="H725" s="45">
        <f>SUM(H727:H728)</f>
        <v>326.88039999999995</v>
      </c>
    </row>
    <row r="726" spans="2:8" x14ac:dyDescent="0.25">
      <c r="B726" s="53" t="s">
        <v>763</v>
      </c>
      <c r="C726" s="47" t="s">
        <v>764</v>
      </c>
      <c r="D726" s="69" t="s">
        <v>138</v>
      </c>
      <c r="E726" s="49" t="s">
        <v>272</v>
      </c>
      <c r="F726" s="71">
        <v>0.2</v>
      </c>
      <c r="G726" s="88">
        <v>8.24</v>
      </c>
      <c r="H726" s="51">
        <f t="shared" ref="H726:H728" si="72">F726*G726</f>
        <v>1.6480000000000001</v>
      </c>
    </row>
    <row r="727" spans="2:8" x14ac:dyDescent="0.25">
      <c r="B727" s="53"/>
      <c r="C727" s="43" t="s">
        <v>155</v>
      </c>
      <c r="D727" s="61" t="s">
        <v>156</v>
      </c>
      <c r="E727" s="38" t="s">
        <v>139</v>
      </c>
      <c r="F727" s="121">
        <v>1.3</v>
      </c>
      <c r="G727" s="51"/>
      <c r="H727" s="63">
        <f>(H726)*(1+F727)</f>
        <v>3.7904</v>
      </c>
    </row>
    <row r="728" spans="2:8" x14ac:dyDescent="0.25">
      <c r="B728" s="53" t="s">
        <v>763</v>
      </c>
      <c r="C728" s="47" t="s">
        <v>762</v>
      </c>
      <c r="D728" s="69" t="s">
        <v>123</v>
      </c>
      <c r="E728" s="49" t="s">
        <v>159</v>
      </c>
      <c r="F728" s="71">
        <v>1</v>
      </c>
      <c r="G728" s="93">
        <v>323.08999999999997</v>
      </c>
      <c r="H728" s="51">
        <f t="shared" si="72"/>
        <v>323.08999999999997</v>
      </c>
    </row>
    <row r="729" spans="2:8" x14ac:dyDescent="0.25">
      <c r="B729" s="52" t="s">
        <v>130</v>
      </c>
      <c r="C729" s="192" t="s">
        <v>321</v>
      </c>
      <c r="D729" s="192"/>
      <c r="E729" s="192"/>
      <c r="F729" s="192"/>
      <c r="G729" s="192"/>
      <c r="H729" s="192"/>
    </row>
    <row r="732" spans="2:8" ht="15.75" x14ac:dyDescent="0.25">
      <c r="B732" s="218" t="s">
        <v>509</v>
      </c>
      <c r="C732" s="214"/>
      <c r="D732" s="214"/>
      <c r="E732" s="214"/>
      <c r="F732" s="214"/>
      <c r="G732" s="214"/>
      <c r="H732" s="214"/>
    </row>
    <row r="733" spans="2:8" x14ac:dyDescent="0.25">
      <c r="B733" s="38" t="s">
        <v>121</v>
      </c>
      <c r="C733" s="39" t="s">
        <v>122</v>
      </c>
      <c r="D733" s="38" t="s">
        <v>123</v>
      </c>
      <c r="E733" s="38" t="s">
        <v>124</v>
      </c>
      <c r="F733" s="84" t="s">
        <v>125</v>
      </c>
      <c r="G733" s="40" t="s">
        <v>126</v>
      </c>
      <c r="H733" s="41" t="s">
        <v>127</v>
      </c>
    </row>
    <row r="734" spans="2:8" ht="30" x14ac:dyDescent="0.25">
      <c r="B734" s="42" t="s">
        <v>765</v>
      </c>
      <c r="C734" s="43" t="s">
        <v>766</v>
      </c>
      <c r="D734" s="44" t="s">
        <v>123</v>
      </c>
      <c r="E734" s="38" t="s">
        <v>128</v>
      </c>
      <c r="F734" s="84"/>
      <c r="G734" s="40"/>
      <c r="H734" s="45">
        <f>SUM(H738:H752)</f>
        <v>302.67221999999998</v>
      </c>
    </row>
    <row r="735" spans="2:8" ht="18" customHeight="1" x14ac:dyDescent="0.25">
      <c r="B735" s="53" t="s">
        <v>701</v>
      </c>
      <c r="C735" s="47" t="s">
        <v>735</v>
      </c>
      <c r="D735" s="69" t="s">
        <v>138</v>
      </c>
      <c r="E735" s="49" t="s">
        <v>272</v>
      </c>
      <c r="F735" s="71">
        <v>0.75</v>
      </c>
      <c r="G735" s="88">
        <v>8.24</v>
      </c>
      <c r="H735" s="51">
        <f t="shared" ref="H735:H752" si="73">F735*G735</f>
        <v>6.18</v>
      </c>
    </row>
    <row r="736" spans="2:8" ht="18" customHeight="1" x14ac:dyDescent="0.25">
      <c r="B736" s="53" t="s">
        <v>702</v>
      </c>
      <c r="C736" s="47" t="s">
        <v>703</v>
      </c>
      <c r="D736" s="69" t="s">
        <v>138</v>
      </c>
      <c r="E736" s="49" t="s">
        <v>272</v>
      </c>
      <c r="F736" s="71">
        <v>2.1</v>
      </c>
      <c r="G736" s="88">
        <v>4.8600000000000003</v>
      </c>
      <c r="H736" s="51">
        <f t="shared" si="73"/>
        <v>10.206000000000001</v>
      </c>
    </row>
    <row r="737" spans="2:8" x14ac:dyDescent="0.25">
      <c r="B737" s="79" t="s">
        <v>763</v>
      </c>
      <c r="C737" s="47" t="s">
        <v>764</v>
      </c>
      <c r="D737" s="69" t="s">
        <v>138</v>
      </c>
      <c r="E737" s="49" t="s">
        <v>159</v>
      </c>
      <c r="F737" s="71">
        <v>0.83499999999999996</v>
      </c>
      <c r="G737" s="88">
        <v>8.24</v>
      </c>
      <c r="H737" s="51">
        <f>F737*G737</f>
        <v>6.8803999999999998</v>
      </c>
    </row>
    <row r="738" spans="2:8" ht="18" customHeight="1" x14ac:dyDescent="0.25">
      <c r="B738" s="53"/>
      <c r="C738" s="43" t="s">
        <v>155</v>
      </c>
      <c r="D738" s="61" t="s">
        <v>156</v>
      </c>
      <c r="E738" s="38" t="s">
        <v>139</v>
      </c>
      <c r="F738" s="121">
        <v>1.3</v>
      </c>
      <c r="G738" s="51"/>
      <c r="H738" s="63">
        <f>(SUM(H735:H737))*(1+F738)</f>
        <v>53.512720000000009</v>
      </c>
    </row>
    <row r="739" spans="2:8" ht="18" customHeight="1" x14ac:dyDescent="0.25">
      <c r="B739" s="79" t="s">
        <v>767</v>
      </c>
      <c r="C739" s="47" t="s">
        <v>768</v>
      </c>
      <c r="D739" s="69" t="s">
        <v>135</v>
      </c>
      <c r="E739" s="49" t="s">
        <v>159</v>
      </c>
      <c r="F739" s="73">
        <v>1.1999999999999999E-3</v>
      </c>
      <c r="G739" s="51">
        <v>73</v>
      </c>
      <c r="H739" s="51">
        <f t="shared" si="73"/>
        <v>8.7599999999999997E-2</v>
      </c>
    </row>
    <row r="740" spans="2:8" ht="18" customHeight="1" x14ac:dyDescent="0.25">
      <c r="B740" s="53" t="s">
        <v>708</v>
      </c>
      <c r="C740" s="47" t="s">
        <v>709</v>
      </c>
      <c r="D740" s="69" t="s">
        <v>168</v>
      </c>
      <c r="E740" s="49" t="s">
        <v>159</v>
      </c>
      <c r="F740" s="71">
        <v>0.15</v>
      </c>
      <c r="G740" s="88">
        <v>0.53</v>
      </c>
      <c r="H740" s="51">
        <f t="shared" si="73"/>
        <v>7.9500000000000001E-2</v>
      </c>
    </row>
    <row r="741" spans="2:8" ht="18" customHeight="1" x14ac:dyDescent="0.25">
      <c r="B741" s="53" t="s">
        <v>769</v>
      </c>
      <c r="C741" s="47" t="s">
        <v>770</v>
      </c>
      <c r="D741" s="69" t="s">
        <v>123</v>
      </c>
      <c r="E741" s="49" t="s">
        <v>159</v>
      </c>
      <c r="F741" s="71">
        <v>7.85E-2</v>
      </c>
      <c r="G741" s="88">
        <v>3.6</v>
      </c>
      <c r="H741" s="51">
        <f t="shared" si="73"/>
        <v>0.28260000000000002</v>
      </c>
    </row>
    <row r="742" spans="2:8" ht="18" customHeight="1" x14ac:dyDescent="0.25">
      <c r="B742" s="53" t="s">
        <v>771</v>
      </c>
      <c r="C742" s="47" t="s">
        <v>772</v>
      </c>
      <c r="D742" s="69" t="s">
        <v>123</v>
      </c>
      <c r="E742" s="49" t="s">
        <v>159</v>
      </c>
      <c r="F742" s="71">
        <v>0.25</v>
      </c>
      <c r="G742" s="88">
        <v>1.98</v>
      </c>
      <c r="H742" s="51">
        <f t="shared" si="73"/>
        <v>0.495</v>
      </c>
    </row>
    <row r="743" spans="2:8" ht="18" customHeight="1" x14ac:dyDescent="0.25">
      <c r="B743" s="53" t="s">
        <v>773</v>
      </c>
      <c r="C743" s="47" t="s">
        <v>774</v>
      </c>
      <c r="D743" s="69" t="s">
        <v>123</v>
      </c>
      <c r="E743" s="49" t="s">
        <v>159</v>
      </c>
      <c r="F743" s="71">
        <v>2</v>
      </c>
      <c r="G743" s="88">
        <v>10.09</v>
      </c>
      <c r="H743" s="51">
        <f t="shared" si="73"/>
        <v>20.18</v>
      </c>
    </row>
    <row r="744" spans="2:8" ht="29.25" customHeight="1" x14ac:dyDescent="0.25">
      <c r="B744" s="79" t="s">
        <v>775</v>
      </c>
      <c r="C744" s="47" t="s">
        <v>776</v>
      </c>
      <c r="D744" s="69" t="s">
        <v>123</v>
      </c>
      <c r="E744" s="49" t="s">
        <v>159</v>
      </c>
      <c r="F744" s="71">
        <v>6.0000000000000001E-3</v>
      </c>
      <c r="G744" s="88">
        <v>30.8</v>
      </c>
      <c r="H744" s="51">
        <f t="shared" si="73"/>
        <v>0.18480000000000002</v>
      </c>
    </row>
    <row r="745" spans="2:8" ht="18" customHeight="1" x14ac:dyDescent="0.25">
      <c r="B745" s="53" t="s">
        <v>777</v>
      </c>
      <c r="C745" s="47" t="s">
        <v>778</v>
      </c>
      <c r="D745" s="69" t="s">
        <v>143</v>
      </c>
      <c r="E745" s="49" t="s">
        <v>159</v>
      </c>
      <c r="F745" s="71">
        <v>3</v>
      </c>
      <c r="G745" s="88">
        <v>35.22</v>
      </c>
      <c r="H745" s="51">
        <f t="shared" si="73"/>
        <v>105.66</v>
      </c>
    </row>
    <row r="746" spans="2:8" ht="18" customHeight="1" x14ac:dyDescent="0.25">
      <c r="B746" s="53" t="s">
        <v>779</v>
      </c>
      <c r="C746" s="47" t="s">
        <v>780</v>
      </c>
      <c r="D746" s="69" t="s">
        <v>123</v>
      </c>
      <c r="E746" s="49" t="s">
        <v>159</v>
      </c>
      <c r="F746" s="71">
        <v>1</v>
      </c>
      <c r="G746" s="88">
        <v>8.65</v>
      </c>
      <c r="H746" s="51">
        <f t="shared" si="73"/>
        <v>8.65</v>
      </c>
    </row>
    <row r="747" spans="2:8" ht="18" customHeight="1" x14ac:dyDescent="0.25">
      <c r="B747" s="79" t="s">
        <v>781</v>
      </c>
      <c r="C747" s="47" t="s">
        <v>782</v>
      </c>
      <c r="D747" s="69" t="s">
        <v>123</v>
      </c>
      <c r="E747" s="49" t="s">
        <v>159</v>
      </c>
      <c r="F747" s="71">
        <v>2</v>
      </c>
      <c r="G747" s="88">
        <v>1.17</v>
      </c>
      <c r="H747" s="51">
        <f t="shared" si="73"/>
        <v>2.34</v>
      </c>
    </row>
    <row r="748" spans="2:8" ht="18" customHeight="1" x14ac:dyDescent="0.25">
      <c r="B748" s="53" t="s">
        <v>783</v>
      </c>
      <c r="C748" s="47" t="s">
        <v>784</v>
      </c>
      <c r="D748" s="69" t="s">
        <v>123</v>
      </c>
      <c r="E748" s="49" t="s">
        <v>159</v>
      </c>
      <c r="F748" s="71">
        <v>3</v>
      </c>
      <c r="G748" s="88">
        <v>13.66</v>
      </c>
      <c r="H748" s="51">
        <f t="shared" si="73"/>
        <v>40.980000000000004</v>
      </c>
    </row>
    <row r="749" spans="2:8" ht="18" customHeight="1" x14ac:dyDescent="0.25">
      <c r="B749" s="53" t="s">
        <v>785</v>
      </c>
      <c r="C749" s="47" t="s">
        <v>786</v>
      </c>
      <c r="D749" s="69" t="s">
        <v>123</v>
      </c>
      <c r="E749" s="49" t="s">
        <v>159</v>
      </c>
      <c r="F749" s="71">
        <v>2</v>
      </c>
      <c r="G749" s="88">
        <v>0.06</v>
      </c>
      <c r="H749" s="51">
        <f t="shared" si="73"/>
        <v>0.12</v>
      </c>
    </row>
    <row r="750" spans="2:8" ht="18" customHeight="1" x14ac:dyDescent="0.25">
      <c r="B750" s="79" t="s">
        <v>787</v>
      </c>
      <c r="C750" s="47" t="s">
        <v>788</v>
      </c>
      <c r="D750" s="69" t="s">
        <v>123</v>
      </c>
      <c r="E750" s="49" t="s">
        <v>159</v>
      </c>
      <c r="F750" s="71">
        <v>3</v>
      </c>
      <c r="G750" s="88">
        <v>6.73</v>
      </c>
      <c r="H750" s="51">
        <f t="shared" si="73"/>
        <v>20.190000000000001</v>
      </c>
    </row>
    <row r="751" spans="2:8" ht="18" customHeight="1" x14ac:dyDescent="0.25">
      <c r="B751" s="53" t="s">
        <v>789</v>
      </c>
      <c r="C751" s="47" t="s">
        <v>790</v>
      </c>
      <c r="D751" s="69" t="s">
        <v>123</v>
      </c>
      <c r="E751" s="49" t="s">
        <v>159</v>
      </c>
      <c r="F751" s="71">
        <v>1</v>
      </c>
      <c r="G751" s="88">
        <v>40.4</v>
      </c>
      <c r="H751" s="51">
        <f t="shared" si="73"/>
        <v>40.4</v>
      </c>
    </row>
    <row r="752" spans="2:8" x14ac:dyDescent="0.25">
      <c r="B752" s="79" t="s">
        <v>791</v>
      </c>
      <c r="C752" s="47" t="s">
        <v>792</v>
      </c>
      <c r="D752" s="69" t="s">
        <v>123</v>
      </c>
      <c r="E752" s="49" t="s">
        <v>159</v>
      </c>
      <c r="F752" s="71">
        <v>3</v>
      </c>
      <c r="G752" s="88">
        <v>3.17</v>
      </c>
      <c r="H752" s="51">
        <f t="shared" si="73"/>
        <v>9.51</v>
      </c>
    </row>
    <row r="753" spans="2:8" x14ac:dyDescent="0.25">
      <c r="B753" s="52" t="s">
        <v>130</v>
      </c>
      <c r="C753" s="192" t="s">
        <v>321</v>
      </c>
      <c r="D753" s="192"/>
      <c r="E753" s="192"/>
      <c r="F753" s="192"/>
      <c r="G753" s="192"/>
      <c r="H753" s="192"/>
    </row>
    <row r="756" spans="2:8" ht="15.75" x14ac:dyDescent="0.25">
      <c r="B756" s="218" t="s">
        <v>510</v>
      </c>
      <c r="C756" s="214"/>
      <c r="D756" s="214"/>
      <c r="E756" s="214"/>
      <c r="F756" s="214"/>
      <c r="G756" s="214"/>
      <c r="H756" s="214"/>
    </row>
    <row r="757" spans="2:8" x14ac:dyDescent="0.25">
      <c r="B757" s="38" t="s">
        <v>121</v>
      </c>
      <c r="C757" s="39" t="s">
        <v>122</v>
      </c>
      <c r="D757" s="38" t="s">
        <v>123</v>
      </c>
      <c r="E757" s="38" t="s">
        <v>124</v>
      </c>
      <c r="F757" s="84" t="s">
        <v>125</v>
      </c>
      <c r="G757" s="40" t="s">
        <v>126</v>
      </c>
      <c r="H757" s="41" t="s">
        <v>127</v>
      </c>
    </row>
    <row r="758" spans="2:8" ht="30" customHeight="1" x14ac:dyDescent="0.25">
      <c r="B758" s="42" t="s">
        <v>793</v>
      </c>
      <c r="C758" s="43" t="s">
        <v>1175</v>
      </c>
      <c r="D758" s="44" t="s">
        <v>123</v>
      </c>
      <c r="E758" s="38" t="s">
        <v>128</v>
      </c>
      <c r="F758" s="84"/>
      <c r="G758" s="40"/>
      <c r="H758" s="45">
        <f>SUM(H761:H762)</f>
        <v>76.872020499999991</v>
      </c>
    </row>
    <row r="759" spans="2:8" x14ac:dyDescent="0.25">
      <c r="B759" s="53" t="s">
        <v>795</v>
      </c>
      <c r="C759" s="47" t="s">
        <v>1173</v>
      </c>
      <c r="D759" s="69" t="s">
        <v>138</v>
      </c>
      <c r="E759" s="49" t="s">
        <v>272</v>
      </c>
      <c r="F759" s="71">
        <v>0.39550000000000002</v>
      </c>
      <c r="G759" s="88">
        <v>5.13</v>
      </c>
      <c r="H759" s="51">
        <f t="shared" ref="H759:H762" si="74">F759*G759</f>
        <v>2.028915</v>
      </c>
    </row>
    <row r="760" spans="2:8" x14ac:dyDescent="0.25">
      <c r="B760" s="53" t="s">
        <v>796</v>
      </c>
      <c r="C760" s="47" t="s">
        <v>1174</v>
      </c>
      <c r="D760" s="69" t="s">
        <v>138</v>
      </c>
      <c r="E760" s="49" t="s">
        <v>272</v>
      </c>
      <c r="F760" s="71">
        <v>0.39550000000000002</v>
      </c>
      <c r="G760" s="88">
        <v>8.24</v>
      </c>
      <c r="H760" s="51">
        <f t="shared" si="74"/>
        <v>3.2589200000000003</v>
      </c>
    </row>
    <row r="761" spans="2:8" x14ac:dyDescent="0.25">
      <c r="B761" s="53"/>
      <c r="C761" s="43" t="s">
        <v>155</v>
      </c>
      <c r="D761" s="61" t="s">
        <v>156</v>
      </c>
      <c r="E761" s="38" t="s">
        <v>139</v>
      </c>
      <c r="F761" s="121">
        <v>1.3</v>
      </c>
      <c r="G761" s="51"/>
      <c r="H761" s="63">
        <f>(SUM(H759:H760))*(1+F761)</f>
        <v>12.162020500000001</v>
      </c>
    </row>
    <row r="762" spans="2:8" ht="30" x14ac:dyDescent="0.25">
      <c r="B762" s="79" t="s">
        <v>797</v>
      </c>
      <c r="C762" s="47" t="s">
        <v>1176</v>
      </c>
      <c r="D762" s="69" t="s">
        <v>123</v>
      </c>
      <c r="E762" s="49" t="s">
        <v>159</v>
      </c>
      <c r="F762" s="71">
        <v>1</v>
      </c>
      <c r="G762" s="88">
        <v>64.709999999999994</v>
      </c>
      <c r="H762" s="51">
        <f t="shared" si="74"/>
        <v>64.709999999999994</v>
      </c>
    </row>
    <row r="763" spans="2:8" x14ac:dyDescent="0.25">
      <c r="B763" s="52" t="s">
        <v>130</v>
      </c>
      <c r="C763" s="192" t="s">
        <v>232</v>
      </c>
      <c r="D763" s="192"/>
      <c r="E763" s="192"/>
      <c r="F763" s="192"/>
      <c r="G763" s="192"/>
      <c r="H763" s="192"/>
    </row>
    <row r="766" spans="2:8" ht="15.75" x14ac:dyDescent="0.25">
      <c r="B766" s="218" t="s">
        <v>512</v>
      </c>
      <c r="C766" s="214"/>
      <c r="D766" s="214"/>
      <c r="E766" s="214"/>
      <c r="F766" s="214"/>
      <c r="G766" s="214"/>
      <c r="H766" s="214"/>
    </row>
    <row r="767" spans="2:8" x14ac:dyDescent="0.25">
      <c r="B767" s="38" t="s">
        <v>121</v>
      </c>
      <c r="C767" s="39" t="s">
        <v>122</v>
      </c>
      <c r="D767" s="38" t="s">
        <v>123</v>
      </c>
      <c r="E767" s="38" t="s">
        <v>124</v>
      </c>
      <c r="F767" s="84" t="s">
        <v>125</v>
      </c>
      <c r="G767" s="40" t="s">
        <v>126</v>
      </c>
      <c r="H767" s="41" t="s">
        <v>127</v>
      </c>
    </row>
    <row r="768" spans="2:8" ht="30" x14ac:dyDescent="0.25">
      <c r="B768" s="42" t="s">
        <v>798</v>
      </c>
      <c r="C768" s="43" t="s">
        <v>799</v>
      </c>
      <c r="D768" s="44" t="s">
        <v>123</v>
      </c>
      <c r="E768" s="38" t="s">
        <v>128</v>
      </c>
      <c r="F768" s="84"/>
      <c r="G768" s="88"/>
      <c r="H768" s="45">
        <f>SUM(H770:H771)</f>
        <v>420.298</v>
      </c>
    </row>
    <row r="769" spans="2:8" x14ac:dyDescent="0.25">
      <c r="B769" s="53" t="s">
        <v>800</v>
      </c>
      <c r="C769" s="47" t="s">
        <v>513</v>
      </c>
      <c r="D769" s="69" t="s">
        <v>138</v>
      </c>
      <c r="E769" s="49" t="s">
        <v>272</v>
      </c>
      <c r="F769" s="71">
        <v>1.5</v>
      </c>
      <c r="G769" s="88">
        <v>8.24</v>
      </c>
      <c r="H769" s="51">
        <f t="shared" ref="H769:H771" si="75">F769*G769</f>
        <v>12.36</v>
      </c>
    </row>
    <row r="770" spans="2:8" x14ac:dyDescent="0.25">
      <c r="B770" s="53"/>
      <c r="C770" s="43" t="s">
        <v>155</v>
      </c>
      <c r="D770" s="61" t="s">
        <v>156</v>
      </c>
      <c r="E770" s="38" t="s">
        <v>139</v>
      </c>
      <c r="F770" s="121">
        <v>1.3</v>
      </c>
      <c r="G770" s="51"/>
      <c r="H770" s="63">
        <f>(H769)*(1+F770)</f>
        <v>28.427999999999997</v>
      </c>
    </row>
    <row r="771" spans="2:8" ht="30" x14ac:dyDescent="0.25">
      <c r="B771" s="53" t="s">
        <v>801</v>
      </c>
      <c r="C771" s="47" t="s">
        <v>799</v>
      </c>
      <c r="D771" s="69" t="s">
        <v>123</v>
      </c>
      <c r="E771" s="49" t="s">
        <v>159</v>
      </c>
      <c r="F771" s="71">
        <v>1</v>
      </c>
      <c r="G771" s="93">
        <v>391.87</v>
      </c>
      <c r="H771" s="51">
        <f t="shared" si="75"/>
        <v>391.87</v>
      </c>
    </row>
    <row r="772" spans="2:8" x14ac:dyDescent="0.25">
      <c r="B772" s="52" t="s">
        <v>130</v>
      </c>
      <c r="C772" s="192" t="s">
        <v>514</v>
      </c>
      <c r="D772" s="192"/>
      <c r="E772" s="192"/>
      <c r="F772" s="192"/>
      <c r="G772" s="192"/>
      <c r="H772" s="192"/>
    </row>
    <row r="775" spans="2:8" ht="15.75" x14ac:dyDescent="0.25">
      <c r="B775" s="218" t="s">
        <v>515</v>
      </c>
      <c r="C775" s="214"/>
      <c r="D775" s="214"/>
      <c r="E775" s="214"/>
      <c r="F775" s="214"/>
      <c r="G775" s="214"/>
      <c r="H775" s="214"/>
    </row>
    <row r="776" spans="2:8" x14ac:dyDescent="0.25">
      <c r="B776" s="38" t="s">
        <v>121</v>
      </c>
      <c r="C776" s="39" t="s">
        <v>122</v>
      </c>
      <c r="D776" s="38" t="s">
        <v>123</v>
      </c>
      <c r="E776" s="38" t="s">
        <v>124</v>
      </c>
      <c r="F776" s="84" t="s">
        <v>125</v>
      </c>
      <c r="G776" s="40" t="s">
        <v>126</v>
      </c>
      <c r="H776" s="41" t="s">
        <v>127</v>
      </c>
    </row>
    <row r="777" spans="2:8" x14ac:dyDescent="0.25">
      <c r="B777" s="42" t="s">
        <v>802</v>
      </c>
      <c r="C777" s="43" t="s">
        <v>803</v>
      </c>
      <c r="D777" s="44" t="s">
        <v>123</v>
      </c>
      <c r="E777" s="38" t="s">
        <v>128</v>
      </c>
      <c r="F777" s="84"/>
      <c r="G777" s="40"/>
      <c r="H777" s="45">
        <f>SUM(H780:H781)</f>
        <v>90.2847328</v>
      </c>
    </row>
    <row r="778" spans="2:8" x14ac:dyDescent="0.25">
      <c r="B778" s="53" t="s">
        <v>795</v>
      </c>
      <c r="C778" s="47" t="s">
        <v>1173</v>
      </c>
      <c r="D778" s="69" t="s">
        <v>138</v>
      </c>
      <c r="E778" s="49" t="s">
        <v>272</v>
      </c>
      <c r="F778" s="71">
        <v>1.1328</v>
      </c>
      <c r="G778" s="88">
        <v>5.13</v>
      </c>
      <c r="H778" s="51">
        <f t="shared" ref="H778:H781" si="76">F778*G778</f>
        <v>5.8112640000000004</v>
      </c>
    </row>
    <row r="779" spans="2:8" x14ac:dyDescent="0.25">
      <c r="B779" s="53" t="s">
        <v>796</v>
      </c>
      <c r="C779" s="47" t="s">
        <v>1174</v>
      </c>
      <c r="D779" s="69" t="s">
        <v>138</v>
      </c>
      <c r="E779" s="49" t="s">
        <v>272</v>
      </c>
      <c r="F779" s="71">
        <v>1.1328</v>
      </c>
      <c r="G779" s="88">
        <v>8.24</v>
      </c>
      <c r="H779" s="51">
        <f t="shared" si="76"/>
        <v>9.3342720000000003</v>
      </c>
    </row>
    <row r="780" spans="2:8" x14ac:dyDescent="0.25">
      <c r="B780" s="53"/>
      <c r="C780" s="43" t="s">
        <v>155</v>
      </c>
      <c r="D780" s="61" t="s">
        <v>156</v>
      </c>
      <c r="E780" s="38" t="s">
        <v>139</v>
      </c>
      <c r="F780" s="121">
        <v>1.3</v>
      </c>
      <c r="G780" s="51"/>
      <c r="H780" s="63">
        <f>(SUM(H778:H779))*(1+F780)</f>
        <v>34.834732799999998</v>
      </c>
    </row>
    <row r="781" spans="2:8" x14ac:dyDescent="0.25">
      <c r="B781" s="79" t="s">
        <v>804</v>
      </c>
      <c r="C781" s="47" t="s">
        <v>1177</v>
      </c>
      <c r="D781" s="69" t="s">
        <v>123</v>
      </c>
      <c r="E781" s="49" t="s">
        <v>159</v>
      </c>
      <c r="F781" s="71">
        <v>1</v>
      </c>
      <c r="G781" s="88">
        <v>55.45</v>
      </c>
      <c r="H781" s="51">
        <f t="shared" si="76"/>
        <v>55.45</v>
      </c>
    </row>
    <row r="782" spans="2:8" x14ac:dyDescent="0.25">
      <c r="B782" s="52" t="s">
        <v>130</v>
      </c>
      <c r="C782" s="192" t="s">
        <v>232</v>
      </c>
      <c r="D782" s="192"/>
      <c r="E782" s="192"/>
      <c r="F782" s="192"/>
      <c r="G782" s="192"/>
      <c r="H782" s="192"/>
    </row>
    <row r="785" spans="2:8" ht="15.75" x14ac:dyDescent="0.25">
      <c r="B785" s="218" t="s">
        <v>516</v>
      </c>
      <c r="C785" s="214"/>
      <c r="D785" s="214"/>
      <c r="E785" s="214"/>
      <c r="F785" s="214"/>
      <c r="G785" s="214"/>
      <c r="H785" s="214"/>
    </row>
    <row r="786" spans="2:8" x14ac:dyDescent="0.25">
      <c r="B786" s="38" t="s">
        <v>121</v>
      </c>
      <c r="C786" s="39" t="s">
        <v>122</v>
      </c>
      <c r="D786" s="38" t="s">
        <v>123</v>
      </c>
      <c r="E786" s="38" t="s">
        <v>124</v>
      </c>
      <c r="F786" s="84" t="s">
        <v>125</v>
      </c>
      <c r="G786" s="40" t="s">
        <v>126</v>
      </c>
      <c r="H786" s="41" t="s">
        <v>127</v>
      </c>
    </row>
    <row r="787" spans="2:8" x14ac:dyDescent="0.25">
      <c r="B787" s="42" t="s">
        <v>806</v>
      </c>
      <c r="C787" s="43" t="s">
        <v>807</v>
      </c>
      <c r="D787" s="44" t="s">
        <v>123</v>
      </c>
      <c r="E787" s="38" t="s">
        <v>128</v>
      </c>
      <c r="F787" s="84"/>
      <c r="G787" s="40"/>
      <c r="H787" s="45">
        <f>SUM(H790:H791)</f>
        <v>131.9548082</v>
      </c>
    </row>
    <row r="788" spans="2:8" x14ac:dyDescent="0.25">
      <c r="B788" s="53" t="s">
        <v>795</v>
      </c>
      <c r="C788" s="47" t="s">
        <v>1173</v>
      </c>
      <c r="D788" s="69" t="s">
        <v>138</v>
      </c>
      <c r="E788" s="49" t="s">
        <v>272</v>
      </c>
      <c r="F788" s="71">
        <v>0.15820000000000001</v>
      </c>
      <c r="G788" s="88">
        <v>5.13</v>
      </c>
      <c r="H788" s="51">
        <f t="shared" ref="H788:H791" si="77">F788*G788</f>
        <v>0.81156600000000001</v>
      </c>
    </row>
    <row r="789" spans="2:8" x14ac:dyDescent="0.25">
      <c r="B789" s="53" t="s">
        <v>796</v>
      </c>
      <c r="C789" s="47" t="s">
        <v>1174</v>
      </c>
      <c r="D789" s="69" t="s">
        <v>138</v>
      </c>
      <c r="E789" s="49" t="s">
        <v>272</v>
      </c>
      <c r="F789" s="71">
        <v>0.15820000000000001</v>
      </c>
      <c r="G789" s="88">
        <v>8.24</v>
      </c>
      <c r="H789" s="51">
        <f t="shared" si="77"/>
        <v>1.3035680000000001</v>
      </c>
    </row>
    <row r="790" spans="2:8" x14ac:dyDescent="0.25">
      <c r="B790" s="53"/>
      <c r="C790" s="43" t="s">
        <v>155</v>
      </c>
      <c r="D790" s="61" t="s">
        <v>156</v>
      </c>
      <c r="E790" s="38" t="s">
        <v>139</v>
      </c>
      <c r="F790" s="121">
        <v>1.3</v>
      </c>
      <c r="G790" s="51"/>
      <c r="H790" s="63">
        <f>(SUM(H788:H789))*(1+F790)</f>
        <v>4.8648082000000006</v>
      </c>
    </row>
    <row r="791" spans="2:8" x14ac:dyDescent="0.25">
      <c r="B791" s="53" t="s">
        <v>1454</v>
      </c>
      <c r="C791" s="47" t="s">
        <v>1178</v>
      </c>
      <c r="D791" s="69" t="s">
        <v>123</v>
      </c>
      <c r="E791" s="49" t="s">
        <v>159</v>
      </c>
      <c r="F791" s="71">
        <v>1</v>
      </c>
      <c r="G791" s="88">
        <v>127.09</v>
      </c>
      <c r="H791" s="51">
        <f t="shared" si="77"/>
        <v>127.09</v>
      </c>
    </row>
    <row r="792" spans="2:8" x14ac:dyDescent="0.25">
      <c r="B792" s="52" t="s">
        <v>130</v>
      </c>
      <c r="C792" s="192" t="s">
        <v>232</v>
      </c>
      <c r="D792" s="192"/>
      <c r="E792" s="192"/>
      <c r="F792" s="192"/>
      <c r="G792" s="192"/>
      <c r="H792" s="192"/>
    </row>
    <row r="795" spans="2:8" ht="15.75" x14ac:dyDescent="0.25">
      <c r="B795" s="218" t="s">
        <v>1456</v>
      </c>
      <c r="C795" s="214"/>
      <c r="D795" s="214"/>
      <c r="E795" s="214"/>
      <c r="F795" s="214"/>
      <c r="G795" s="214"/>
      <c r="H795" s="214"/>
    </row>
    <row r="796" spans="2:8" x14ac:dyDescent="0.25">
      <c r="B796" s="38" t="s">
        <v>121</v>
      </c>
      <c r="C796" s="39" t="s">
        <v>122</v>
      </c>
      <c r="D796" s="38" t="s">
        <v>123</v>
      </c>
      <c r="E796" s="38" t="s">
        <v>124</v>
      </c>
      <c r="F796" s="84" t="s">
        <v>125</v>
      </c>
      <c r="G796" s="40" t="s">
        <v>126</v>
      </c>
      <c r="H796" s="41" t="s">
        <v>127</v>
      </c>
    </row>
    <row r="797" spans="2:8" ht="30" x14ac:dyDescent="0.25">
      <c r="B797" s="42" t="s">
        <v>806</v>
      </c>
      <c r="C797" s="43" t="s">
        <v>1451</v>
      </c>
      <c r="D797" s="44" t="s">
        <v>123</v>
      </c>
      <c r="E797" s="38" t="s">
        <v>128</v>
      </c>
      <c r="F797" s="84"/>
      <c r="G797" s="40"/>
      <c r="H797" s="45">
        <f>SUM(H798:H799)</f>
        <v>34.15</v>
      </c>
    </row>
    <row r="798" spans="2:8" ht="30" x14ac:dyDescent="0.25">
      <c r="B798" s="53" t="s">
        <v>1455</v>
      </c>
      <c r="C798" s="47" t="s">
        <v>1452</v>
      </c>
      <c r="D798" s="69" t="s">
        <v>123</v>
      </c>
      <c r="E798" s="49" t="s">
        <v>128</v>
      </c>
      <c r="F798" s="73">
        <v>1</v>
      </c>
      <c r="G798" s="51">
        <v>5.99</v>
      </c>
      <c r="H798" s="51">
        <f t="shared" ref="H798:H799" si="78">F798*G798</f>
        <v>5.99</v>
      </c>
    </row>
    <row r="799" spans="2:8" ht="30" x14ac:dyDescent="0.25">
      <c r="B799" s="79" t="s">
        <v>808</v>
      </c>
      <c r="C799" s="47" t="s">
        <v>1453</v>
      </c>
      <c r="D799" s="69" t="s">
        <v>123</v>
      </c>
      <c r="E799" s="49" t="s">
        <v>128</v>
      </c>
      <c r="F799" s="71">
        <v>1</v>
      </c>
      <c r="G799" s="88">
        <v>28.16</v>
      </c>
      <c r="H799" s="51">
        <f t="shared" si="78"/>
        <v>28.16</v>
      </c>
    </row>
    <row r="800" spans="2:8" x14ac:dyDescent="0.25">
      <c r="B800" s="52" t="s">
        <v>130</v>
      </c>
      <c r="C800" s="192" t="s">
        <v>232</v>
      </c>
      <c r="D800" s="192"/>
      <c r="E800" s="192"/>
      <c r="F800" s="192"/>
      <c r="G800" s="192"/>
      <c r="H800" s="192"/>
    </row>
    <row r="801" spans="2:8" x14ac:dyDescent="0.25">
      <c r="B801" s="75"/>
      <c r="C801" s="76"/>
      <c r="D801" s="76"/>
      <c r="E801" s="76"/>
      <c r="F801" s="76"/>
      <c r="G801" s="76"/>
      <c r="H801" s="76"/>
    </row>
    <row r="803" spans="2:8" ht="15.75" x14ac:dyDescent="0.25">
      <c r="B803" s="218" t="s">
        <v>518</v>
      </c>
      <c r="C803" s="214"/>
      <c r="D803" s="214"/>
      <c r="E803" s="214"/>
      <c r="F803" s="214"/>
      <c r="G803" s="214"/>
      <c r="H803" s="214"/>
    </row>
    <row r="804" spans="2:8" x14ac:dyDescent="0.25">
      <c r="B804" s="38" t="s">
        <v>121</v>
      </c>
      <c r="C804" s="39" t="s">
        <v>122</v>
      </c>
      <c r="D804" s="38" t="s">
        <v>123</v>
      </c>
      <c r="E804" s="38" t="s">
        <v>124</v>
      </c>
      <c r="F804" s="84" t="s">
        <v>125</v>
      </c>
      <c r="G804" s="40" t="s">
        <v>126</v>
      </c>
      <c r="H804" s="41" t="s">
        <v>127</v>
      </c>
    </row>
    <row r="805" spans="2:8" ht="45" x14ac:dyDescent="0.25">
      <c r="B805" s="42" t="s">
        <v>1745</v>
      </c>
      <c r="C805" s="43" t="s">
        <v>1744</v>
      </c>
      <c r="D805" s="44" t="s">
        <v>123</v>
      </c>
      <c r="E805" s="38" t="s">
        <v>128</v>
      </c>
      <c r="F805" s="84"/>
      <c r="G805" s="40"/>
      <c r="H805" s="45">
        <f>SUM(H806:H814)</f>
        <v>114.00099999999999</v>
      </c>
    </row>
    <row r="806" spans="2:8" x14ac:dyDescent="0.25">
      <c r="B806" s="53" t="s">
        <v>812</v>
      </c>
      <c r="C806" s="47" t="s">
        <v>813</v>
      </c>
      <c r="D806" s="69" t="s">
        <v>143</v>
      </c>
      <c r="E806" s="49" t="s">
        <v>128</v>
      </c>
      <c r="F806" s="71">
        <v>2.2000000000000002</v>
      </c>
      <c r="G806" s="88">
        <v>4.68</v>
      </c>
      <c r="H806" s="51">
        <f t="shared" ref="H806:H814" si="79">F806*G806</f>
        <v>10.295999999999999</v>
      </c>
    </row>
    <row r="807" spans="2:8" x14ac:dyDescent="0.25">
      <c r="B807" s="79" t="s">
        <v>814</v>
      </c>
      <c r="C807" s="47" t="s">
        <v>815</v>
      </c>
      <c r="D807" s="69" t="s">
        <v>123</v>
      </c>
      <c r="E807" s="49" t="s">
        <v>128</v>
      </c>
      <c r="F807" s="71">
        <v>1</v>
      </c>
      <c r="G807" s="88">
        <v>3.03</v>
      </c>
      <c r="H807" s="51">
        <f t="shared" si="79"/>
        <v>3.03</v>
      </c>
    </row>
    <row r="808" spans="2:8" ht="30" x14ac:dyDescent="0.25">
      <c r="B808" s="53" t="s">
        <v>816</v>
      </c>
      <c r="C808" s="47" t="s">
        <v>817</v>
      </c>
      <c r="D808" s="69" t="s">
        <v>143</v>
      </c>
      <c r="E808" s="49" t="s">
        <v>128</v>
      </c>
      <c r="F808" s="71">
        <v>2.2000000000000002</v>
      </c>
      <c r="G808" s="88">
        <v>9.4600000000000009</v>
      </c>
      <c r="H808" s="51">
        <f t="shared" si="79"/>
        <v>20.812000000000005</v>
      </c>
    </row>
    <row r="809" spans="2:8" ht="30" x14ac:dyDescent="0.25">
      <c r="B809" s="53" t="s">
        <v>818</v>
      </c>
      <c r="C809" s="47" t="s">
        <v>819</v>
      </c>
      <c r="D809" s="69" t="s">
        <v>143</v>
      </c>
      <c r="E809" s="49" t="s">
        <v>128</v>
      </c>
      <c r="F809" s="71">
        <v>2</v>
      </c>
      <c r="G809" s="88">
        <v>3.96</v>
      </c>
      <c r="H809" s="51">
        <f t="shared" si="79"/>
        <v>7.92</v>
      </c>
    </row>
    <row r="810" spans="2:8" ht="30" x14ac:dyDescent="0.25">
      <c r="B810" s="79" t="s">
        <v>820</v>
      </c>
      <c r="C810" s="47" t="s">
        <v>821</v>
      </c>
      <c r="D810" s="69" t="s">
        <v>143</v>
      </c>
      <c r="E810" s="49" t="s">
        <v>128</v>
      </c>
      <c r="F810" s="71">
        <v>2.2000000000000002</v>
      </c>
      <c r="G810" s="88">
        <v>5.79</v>
      </c>
      <c r="H810" s="51">
        <f t="shared" si="79"/>
        <v>12.738000000000001</v>
      </c>
    </row>
    <row r="811" spans="2:8" ht="30" x14ac:dyDescent="0.25">
      <c r="B811" s="79" t="s">
        <v>822</v>
      </c>
      <c r="C811" s="47" t="s">
        <v>823</v>
      </c>
      <c r="D811" s="69" t="s">
        <v>143</v>
      </c>
      <c r="E811" s="49" t="s">
        <v>128</v>
      </c>
      <c r="F811" s="71">
        <v>12.6</v>
      </c>
      <c r="G811" s="88">
        <v>1.8</v>
      </c>
      <c r="H811" s="51">
        <f t="shared" si="79"/>
        <v>22.68</v>
      </c>
    </row>
    <row r="812" spans="2:8" x14ac:dyDescent="0.25">
      <c r="B812" s="53" t="s">
        <v>824</v>
      </c>
      <c r="C812" s="47" t="s">
        <v>825</v>
      </c>
      <c r="D812" s="69" t="s">
        <v>123</v>
      </c>
      <c r="E812" s="49" t="s">
        <v>128</v>
      </c>
      <c r="F812" s="71">
        <v>0.375</v>
      </c>
      <c r="G812" s="88">
        <v>7.64</v>
      </c>
      <c r="H812" s="51">
        <f t="shared" si="79"/>
        <v>2.8649999999999998</v>
      </c>
    </row>
    <row r="813" spans="2:8" ht="30" x14ac:dyDescent="0.25">
      <c r="B813" s="53" t="s">
        <v>826</v>
      </c>
      <c r="C813" s="47" t="s">
        <v>827</v>
      </c>
      <c r="D813" s="69" t="s">
        <v>123</v>
      </c>
      <c r="E813" s="49" t="s">
        <v>128</v>
      </c>
      <c r="F813" s="71">
        <v>1</v>
      </c>
      <c r="G813" s="88">
        <v>10.41</v>
      </c>
      <c r="H813" s="51">
        <f t="shared" si="79"/>
        <v>10.41</v>
      </c>
    </row>
    <row r="814" spans="2:8" ht="30" x14ac:dyDescent="0.25">
      <c r="B814" s="79" t="s">
        <v>828</v>
      </c>
      <c r="C814" s="47" t="s">
        <v>829</v>
      </c>
      <c r="D814" s="69" t="s">
        <v>123</v>
      </c>
      <c r="E814" s="49" t="s">
        <v>128</v>
      </c>
      <c r="F814" s="71">
        <v>1</v>
      </c>
      <c r="G814" s="88">
        <v>23.25</v>
      </c>
      <c r="H814" s="51">
        <f t="shared" si="79"/>
        <v>23.25</v>
      </c>
    </row>
    <row r="815" spans="2:8" x14ac:dyDescent="0.25">
      <c r="B815" s="52" t="s">
        <v>130</v>
      </c>
      <c r="C815" s="192" t="s">
        <v>519</v>
      </c>
      <c r="D815" s="192"/>
      <c r="E815" s="192"/>
      <c r="F815" s="192"/>
      <c r="G815" s="192"/>
      <c r="H815" s="192"/>
    </row>
    <row r="818" spans="2:8" ht="15.75" x14ac:dyDescent="0.25">
      <c r="B818" s="218" t="s">
        <v>520</v>
      </c>
      <c r="C818" s="214"/>
      <c r="D818" s="214"/>
      <c r="E818" s="214"/>
      <c r="F818" s="214"/>
      <c r="G818" s="214"/>
      <c r="H818" s="214"/>
    </row>
    <row r="819" spans="2:8" x14ac:dyDescent="0.25">
      <c r="B819" s="38" t="s">
        <v>121</v>
      </c>
      <c r="C819" s="39" t="s">
        <v>122</v>
      </c>
      <c r="D819" s="38" t="s">
        <v>123</v>
      </c>
      <c r="E819" s="38" t="s">
        <v>124</v>
      </c>
      <c r="F819" s="84" t="s">
        <v>125</v>
      </c>
      <c r="G819" s="40" t="s">
        <v>126</v>
      </c>
      <c r="H819" s="41" t="s">
        <v>127</v>
      </c>
    </row>
    <row r="820" spans="2:8" ht="30" x14ac:dyDescent="0.25">
      <c r="B820" s="42" t="s">
        <v>830</v>
      </c>
      <c r="C820" s="43" t="s">
        <v>831</v>
      </c>
      <c r="D820" s="44" t="s">
        <v>123</v>
      </c>
      <c r="E820" s="38" t="s">
        <v>128</v>
      </c>
      <c r="F820" s="84"/>
      <c r="G820" s="40"/>
      <c r="H820" s="45">
        <f>SUM(H823:H830)</f>
        <v>186.49449999999996</v>
      </c>
    </row>
    <row r="821" spans="2:8" x14ac:dyDescent="0.25">
      <c r="B821" s="53" t="s">
        <v>800</v>
      </c>
      <c r="C821" s="47" t="s">
        <v>832</v>
      </c>
      <c r="D821" s="69" t="s">
        <v>138</v>
      </c>
      <c r="E821" s="49" t="s">
        <v>272</v>
      </c>
      <c r="F821" s="71">
        <v>5</v>
      </c>
      <c r="G821" s="88">
        <v>8.24</v>
      </c>
      <c r="H821" s="51">
        <f t="shared" ref="H821:H830" si="80">F821*G821</f>
        <v>41.2</v>
      </c>
    </row>
    <row r="822" spans="2:8" x14ac:dyDescent="0.25">
      <c r="B822" s="53" t="s">
        <v>702</v>
      </c>
      <c r="C822" s="47" t="s">
        <v>703</v>
      </c>
      <c r="D822" s="69" t="s">
        <v>138</v>
      </c>
      <c r="E822" s="49" t="s">
        <v>272</v>
      </c>
      <c r="F822" s="71">
        <v>4</v>
      </c>
      <c r="G822" s="88">
        <v>4.8600000000000003</v>
      </c>
      <c r="H822" s="51">
        <f t="shared" si="80"/>
        <v>19.440000000000001</v>
      </c>
    </row>
    <row r="823" spans="2:8" x14ac:dyDescent="0.25">
      <c r="B823" s="53"/>
      <c r="C823" s="43" t="s">
        <v>155</v>
      </c>
      <c r="D823" s="61" t="s">
        <v>156</v>
      </c>
      <c r="E823" s="38" t="s">
        <v>139</v>
      </c>
      <c r="F823" s="121">
        <v>1.3</v>
      </c>
      <c r="G823" s="51"/>
      <c r="H823" s="63">
        <f>(SUM(H821:H822))*(1+F823)</f>
        <v>139.47199999999998</v>
      </c>
    </row>
    <row r="824" spans="2:8" x14ac:dyDescent="0.25">
      <c r="B824" s="53" t="s">
        <v>833</v>
      </c>
      <c r="C824" s="47" t="s">
        <v>834</v>
      </c>
      <c r="D824" s="69" t="s">
        <v>123</v>
      </c>
      <c r="E824" s="49" t="s">
        <v>159</v>
      </c>
      <c r="F824" s="71">
        <v>0.15</v>
      </c>
      <c r="G824" s="88">
        <v>6.95</v>
      </c>
      <c r="H824" s="51">
        <f t="shared" si="80"/>
        <v>1.0425</v>
      </c>
    </row>
    <row r="825" spans="2:8" ht="30" x14ac:dyDescent="0.25">
      <c r="B825" s="53" t="s">
        <v>835</v>
      </c>
      <c r="C825" s="47" t="s">
        <v>836</v>
      </c>
      <c r="D825" s="69" t="s">
        <v>143</v>
      </c>
      <c r="E825" s="49" t="s">
        <v>159</v>
      </c>
      <c r="F825" s="71">
        <v>18</v>
      </c>
      <c r="G825" s="88">
        <v>1.17</v>
      </c>
      <c r="H825" s="51">
        <f t="shared" si="80"/>
        <v>21.06</v>
      </c>
    </row>
    <row r="826" spans="2:8" x14ac:dyDescent="0.25">
      <c r="B826" s="53" t="s">
        <v>837</v>
      </c>
      <c r="C826" s="47" t="s">
        <v>838</v>
      </c>
      <c r="D826" s="69" t="s">
        <v>123</v>
      </c>
      <c r="E826" s="49" t="s">
        <v>159</v>
      </c>
      <c r="F826" s="125">
        <v>0.5</v>
      </c>
      <c r="G826" s="88">
        <v>12.2</v>
      </c>
      <c r="H826" s="51">
        <f t="shared" si="80"/>
        <v>6.1</v>
      </c>
    </row>
    <row r="827" spans="2:8" x14ac:dyDescent="0.25">
      <c r="B827" s="53" t="s">
        <v>839</v>
      </c>
      <c r="C827" s="47" t="s">
        <v>840</v>
      </c>
      <c r="D827" s="69" t="s">
        <v>143</v>
      </c>
      <c r="E827" s="49" t="s">
        <v>159</v>
      </c>
      <c r="F827" s="71">
        <v>6</v>
      </c>
      <c r="G827" s="57">
        <v>2</v>
      </c>
      <c r="H827" s="51">
        <f t="shared" si="80"/>
        <v>12</v>
      </c>
    </row>
    <row r="828" spans="2:8" x14ac:dyDescent="0.25">
      <c r="B828" s="53" t="s">
        <v>841</v>
      </c>
      <c r="C828" s="47" t="s">
        <v>842</v>
      </c>
      <c r="D828" s="69" t="s">
        <v>123</v>
      </c>
      <c r="E828" s="49" t="s">
        <v>159</v>
      </c>
      <c r="F828" s="125">
        <v>0.5</v>
      </c>
      <c r="G828" s="88">
        <v>12.2</v>
      </c>
      <c r="H828" s="51">
        <f t="shared" si="80"/>
        <v>6.1</v>
      </c>
    </row>
    <row r="829" spans="2:8" x14ac:dyDescent="0.25">
      <c r="B829" s="53" t="s">
        <v>785</v>
      </c>
      <c r="C829" s="47" t="s">
        <v>786</v>
      </c>
      <c r="D829" s="69" t="s">
        <v>123</v>
      </c>
      <c r="E829" s="49" t="s">
        <v>159</v>
      </c>
      <c r="F829" s="71">
        <v>4</v>
      </c>
      <c r="G829" s="88">
        <v>0.06</v>
      </c>
      <c r="H829" s="51">
        <f t="shared" si="80"/>
        <v>0.24</v>
      </c>
    </row>
    <row r="830" spans="2:8" x14ac:dyDescent="0.25">
      <c r="B830" s="79" t="s">
        <v>843</v>
      </c>
      <c r="C830" s="47" t="s">
        <v>844</v>
      </c>
      <c r="D830" s="69" t="s">
        <v>123</v>
      </c>
      <c r="E830" s="49" t="s">
        <v>159</v>
      </c>
      <c r="F830" s="71">
        <v>4</v>
      </c>
      <c r="G830" s="93">
        <v>0.12</v>
      </c>
      <c r="H830" s="51">
        <f t="shared" si="80"/>
        <v>0.48</v>
      </c>
    </row>
    <row r="831" spans="2:8" x14ac:dyDescent="0.25">
      <c r="B831" s="52" t="s">
        <v>130</v>
      </c>
      <c r="C831" s="192" t="s">
        <v>1740</v>
      </c>
      <c r="D831" s="192"/>
      <c r="E831" s="192"/>
      <c r="F831" s="192"/>
      <c r="G831" s="192"/>
      <c r="H831" s="192"/>
    </row>
    <row r="834" spans="2:8" ht="15.75" x14ac:dyDescent="0.25">
      <c r="B834" s="218" t="s">
        <v>521</v>
      </c>
      <c r="C834" s="214"/>
      <c r="D834" s="214"/>
      <c r="E834" s="214"/>
      <c r="F834" s="214"/>
      <c r="G834" s="214"/>
      <c r="H834" s="214"/>
    </row>
    <row r="835" spans="2:8" x14ac:dyDescent="0.25">
      <c r="B835" s="38" t="s">
        <v>121</v>
      </c>
      <c r="C835" s="39" t="s">
        <v>122</v>
      </c>
      <c r="D835" s="38" t="s">
        <v>123</v>
      </c>
      <c r="E835" s="38" t="s">
        <v>124</v>
      </c>
      <c r="F835" s="84" t="s">
        <v>125</v>
      </c>
      <c r="G835" s="40" t="s">
        <v>126</v>
      </c>
      <c r="H835" s="41" t="s">
        <v>127</v>
      </c>
    </row>
    <row r="836" spans="2:8" x14ac:dyDescent="0.25">
      <c r="B836" s="42" t="s">
        <v>845</v>
      </c>
      <c r="C836" s="43" t="s">
        <v>846</v>
      </c>
      <c r="D836" s="44" t="s">
        <v>123</v>
      </c>
      <c r="E836" s="38" t="s">
        <v>128</v>
      </c>
      <c r="F836" s="84"/>
      <c r="G836" s="40"/>
      <c r="H836" s="45">
        <f>SUM(H839:H845)</f>
        <v>164.4425</v>
      </c>
    </row>
    <row r="837" spans="2:8" x14ac:dyDescent="0.25">
      <c r="B837" s="53" t="s">
        <v>800</v>
      </c>
      <c r="C837" s="47" t="s">
        <v>832</v>
      </c>
      <c r="D837" s="69" t="s">
        <v>138</v>
      </c>
      <c r="E837" s="49" t="s">
        <v>272</v>
      </c>
      <c r="F837" s="71">
        <v>4</v>
      </c>
      <c r="G837" s="88">
        <v>8.24</v>
      </c>
      <c r="H837" s="51">
        <f t="shared" ref="H837:H845" si="81">F837*G837</f>
        <v>32.96</v>
      </c>
    </row>
    <row r="838" spans="2:8" x14ac:dyDescent="0.25">
      <c r="B838" s="53" t="s">
        <v>684</v>
      </c>
      <c r="C838" s="47" t="s">
        <v>703</v>
      </c>
      <c r="D838" s="69" t="s">
        <v>138</v>
      </c>
      <c r="E838" s="49" t="s">
        <v>272</v>
      </c>
      <c r="F838" s="71">
        <v>4</v>
      </c>
      <c r="G838" s="88">
        <v>4.8600000000000003</v>
      </c>
      <c r="H838" s="51">
        <f t="shared" si="81"/>
        <v>19.440000000000001</v>
      </c>
    </row>
    <row r="839" spans="2:8" x14ac:dyDescent="0.25">
      <c r="B839" s="53"/>
      <c r="C839" s="43" t="s">
        <v>155</v>
      </c>
      <c r="D839" s="61" t="s">
        <v>156</v>
      </c>
      <c r="E839" s="38" t="s">
        <v>139</v>
      </c>
      <c r="F839" s="121">
        <v>1.3</v>
      </c>
      <c r="G839" s="51"/>
      <c r="H839" s="63">
        <f>(SUM(H837:H838))*(1+F839)</f>
        <v>120.52000000000001</v>
      </c>
    </row>
    <row r="840" spans="2:8" x14ac:dyDescent="0.25">
      <c r="B840" s="79" t="s">
        <v>848</v>
      </c>
      <c r="C840" s="47" t="s">
        <v>849</v>
      </c>
      <c r="D840" s="69" t="s">
        <v>143</v>
      </c>
      <c r="E840" s="49" t="s">
        <v>159</v>
      </c>
      <c r="F840" s="71">
        <v>6</v>
      </c>
      <c r="G840" s="88">
        <v>1.51</v>
      </c>
      <c r="H840" s="51">
        <f t="shared" si="81"/>
        <v>9.06</v>
      </c>
    </row>
    <row r="841" spans="2:8" x14ac:dyDescent="0.25">
      <c r="B841" s="79" t="s">
        <v>684</v>
      </c>
      <c r="C841" s="47" t="s">
        <v>685</v>
      </c>
      <c r="D841" s="69" t="s">
        <v>168</v>
      </c>
      <c r="E841" s="49" t="s">
        <v>159</v>
      </c>
      <c r="F841" s="71">
        <v>0.02</v>
      </c>
      <c r="G841" s="51">
        <v>12</v>
      </c>
      <c r="H841" s="51">
        <f t="shared" si="81"/>
        <v>0.24</v>
      </c>
    </row>
    <row r="842" spans="2:8" x14ac:dyDescent="0.25">
      <c r="B842" s="79" t="s">
        <v>848</v>
      </c>
      <c r="C842" s="47" t="s">
        <v>850</v>
      </c>
      <c r="D842" s="69" t="s">
        <v>123</v>
      </c>
      <c r="E842" s="49" t="s">
        <v>159</v>
      </c>
      <c r="F842" s="71">
        <v>1</v>
      </c>
      <c r="G842" s="88">
        <v>1.51</v>
      </c>
      <c r="H842" s="51">
        <f t="shared" si="81"/>
        <v>1.51</v>
      </c>
    </row>
    <row r="843" spans="2:8" x14ac:dyDescent="0.25">
      <c r="B843" s="79" t="s">
        <v>833</v>
      </c>
      <c r="C843" s="47" t="s">
        <v>834</v>
      </c>
      <c r="D843" s="69" t="s">
        <v>123</v>
      </c>
      <c r="E843" s="49" t="s">
        <v>159</v>
      </c>
      <c r="F843" s="71">
        <v>0.15</v>
      </c>
      <c r="G843" s="88">
        <v>6.95</v>
      </c>
      <c r="H843" s="51">
        <f t="shared" si="81"/>
        <v>1.0425</v>
      </c>
    </row>
    <row r="844" spans="2:8" x14ac:dyDescent="0.25">
      <c r="B844" s="53" t="s">
        <v>851</v>
      </c>
      <c r="C844" s="47" t="s">
        <v>852</v>
      </c>
      <c r="D844" s="69" t="s">
        <v>123</v>
      </c>
      <c r="E844" s="49" t="s">
        <v>159</v>
      </c>
      <c r="F844" s="71">
        <v>1</v>
      </c>
      <c r="G844" s="88">
        <v>18.93</v>
      </c>
      <c r="H844" s="51">
        <f t="shared" si="81"/>
        <v>18.93</v>
      </c>
    </row>
    <row r="845" spans="2:8" ht="30" x14ac:dyDescent="0.25">
      <c r="B845" s="79" t="s">
        <v>853</v>
      </c>
      <c r="C845" s="47" t="s">
        <v>854</v>
      </c>
      <c r="D845" s="69" t="s">
        <v>143</v>
      </c>
      <c r="E845" s="49" t="s">
        <v>159</v>
      </c>
      <c r="F845" s="71">
        <v>18</v>
      </c>
      <c r="G845" s="88">
        <v>0.73</v>
      </c>
      <c r="H845" s="51">
        <f t="shared" si="81"/>
        <v>13.14</v>
      </c>
    </row>
    <row r="846" spans="2:8" x14ac:dyDescent="0.25">
      <c r="B846" s="52" t="s">
        <v>130</v>
      </c>
      <c r="C846" s="192" t="s">
        <v>321</v>
      </c>
      <c r="D846" s="192"/>
      <c r="E846" s="192"/>
      <c r="F846" s="192"/>
      <c r="G846" s="192"/>
      <c r="H846" s="192"/>
    </row>
    <row r="848" spans="2:8" ht="15.75" customHeight="1" x14ac:dyDescent="0.25"/>
    <row r="849" spans="2:8" ht="15.75" x14ac:dyDescent="0.25">
      <c r="B849" s="218" t="s">
        <v>522</v>
      </c>
      <c r="C849" s="214"/>
      <c r="D849" s="214"/>
      <c r="E849" s="214"/>
      <c r="F849" s="214"/>
      <c r="G849" s="214"/>
      <c r="H849" s="214"/>
    </row>
    <row r="850" spans="2:8" x14ac:dyDescent="0.25">
      <c r="B850" s="38" t="s">
        <v>121</v>
      </c>
      <c r="C850" s="39" t="s">
        <v>122</v>
      </c>
      <c r="D850" s="38" t="s">
        <v>123</v>
      </c>
      <c r="E850" s="38" t="s">
        <v>124</v>
      </c>
      <c r="F850" s="84" t="s">
        <v>125</v>
      </c>
      <c r="G850" s="40" t="s">
        <v>126</v>
      </c>
      <c r="H850" s="41" t="s">
        <v>127</v>
      </c>
    </row>
    <row r="851" spans="2:8" ht="30" x14ac:dyDescent="0.25">
      <c r="B851" s="42" t="s">
        <v>855</v>
      </c>
      <c r="C851" s="43" t="s">
        <v>856</v>
      </c>
      <c r="D851" s="44" t="s">
        <v>123</v>
      </c>
      <c r="E851" s="38" t="s">
        <v>128</v>
      </c>
      <c r="F851" s="84"/>
      <c r="G851" s="40"/>
      <c r="H851" s="45">
        <f>SUM(H855:H857)</f>
        <v>265.99070999999998</v>
      </c>
    </row>
    <row r="852" spans="2:8" x14ac:dyDescent="0.25">
      <c r="B852" s="53" t="s">
        <v>800</v>
      </c>
      <c r="C852" s="47" t="s">
        <v>832</v>
      </c>
      <c r="D852" s="69" t="s">
        <v>138</v>
      </c>
      <c r="E852" s="49" t="s">
        <v>272</v>
      </c>
      <c r="F852" s="71">
        <v>1.4</v>
      </c>
      <c r="G852" s="88">
        <v>8.24</v>
      </c>
      <c r="H852" s="51">
        <f t="shared" ref="H852:H857" si="82">F852*G852</f>
        <v>11.536</v>
      </c>
    </row>
    <row r="853" spans="2:8" x14ac:dyDescent="0.25">
      <c r="B853" s="53" t="s">
        <v>701</v>
      </c>
      <c r="C853" s="47" t="s">
        <v>735</v>
      </c>
      <c r="D853" s="69" t="s">
        <v>138</v>
      </c>
      <c r="E853" s="49" t="s">
        <v>272</v>
      </c>
      <c r="F853" s="71">
        <v>0.6</v>
      </c>
      <c r="G853" s="88">
        <v>8.24</v>
      </c>
      <c r="H853" s="51">
        <f t="shared" si="82"/>
        <v>4.944</v>
      </c>
    </row>
    <row r="854" spans="2:8" x14ac:dyDescent="0.25">
      <c r="B854" s="53" t="s">
        <v>702</v>
      </c>
      <c r="C854" s="47" t="s">
        <v>703</v>
      </c>
      <c r="D854" s="69" t="s">
        <v>138</v>
      </c>
      <c r="E854" s="49" t="s">
        <v>272</v>
      </c>
      <c r="F854" s="71">
        <v>0.9</v>
      </c>
      <c r="G854" s="88">
        <v>4.8600000000000003</v>
      </c>
      <c r="H854" s="51">
        <f t="shared" si="82"/>
        <v>4.3740000000000006</v>
      </c>
    </row>
    <row r="855" spans="2:8" x14ac:dyDescent="0.25">
      <c r="B855" s="53"/>
      <c r="C855" s="43" t="s">
        <v>155</v>
      </c>
      <c r="D855" s="61" t="s">
        <v>156</v>
      </c>
      <c r="E855" s="38" t="s">
        <v>139</v>
      </c>
      <c r="F855" s="121">
        <v>1.3</v>
      </c>
      <c r="G855" s="51"/>
      <c r="H855" s="63">
        <f>(SUM(H852:H854))*(1+F855)</f>
        <v>47.964199999999991</v>
      </c>
    </row>
    <row r="856" spans="2:8" ht="45" x14ac:dyDescent="0.25">
      <c r="B856" s="79" t="s">
        <v>984</v>
      </c>
      <c r="C856" s="47" t="s">
        <v>983</v>
      </c>
      <c r="D856" s="69" t="s">
        <v>123</v>
      </c>
      <c r="E856" s="49" t="s">
        <v>159</v>
      </c>
      <c r="F856" s="71">
        <v>1</v>
      </c>
      <c r="G856" s="88">
        <v>213.82</v>
      </c>
      <c r="H856" s="51">
        <f t="shared" si="82"/>
        <v>213.82</v>
      </c>
    </row>
    <row r="857" spans="2:8" ht="45" x14ac:dyDescent="0.25">
      <c r="B857" s="79" t="s">
        <v>857</v>
      </c>
      <c r="C857" s="47" t="s">
        <v>858</v>
      </c>
      <c r="D857" s="69" t="s">
        <v>135</v>
      </c>
      <c r="E857" s="49" t="s">
        <v>159</v>
      </c>
      <c r="F857" s="71">
        <v>1.0999999999999999E-2</v>
      </c>
      <c r="G857" s="93">
        <v>382.41</v>
      </c>
      <c r="H857" s="51">
        <f t="shared" si="82"/>
        <v>4.2065099999999997</v>
      </c>
    </row>
    <row r="858" spans="2:8" x14ac:dyDescent="0.25">
      <c r="B858" s="52" t="s">
        <v>130</v>
      </c>
      <c r="C858" s="192" t="s">
        <v>321</v>
      </c>
      <c r="D858" s="192"/>
      <c r="E858" s="192"/>
      <c r="F858" s="192"/>
      <c r="G858" s="192"/>
      <c r="H858" s="192"/>
    </row>
    <row r="861" spans="2:8" ht="15.75" x14ac:dyDescent="0.25">
      <c r="B861" s="218" t="s">
        <v>523</v>
      </c>
      <c r="C861" s="214"/>
      <c r="D861" s="214"/>
      <c r="E861" s="214"/>
      <c r="F861" s="214"/>
      <c r="G861" s="214"/>
      <c r="H861" s="214"/>
    </row>
    <row r="862" spans="2:8" x14ac:dyDescent="0.25">
      <c r="B862" s="38" t="s">
        <v>121</v>
      </c>
      <c r="C862" s="39" t="s">
        <v>122</v>
      </c>
      <c r="D862" s="38" t="s">
        <v>123</v>
      </c>
      <c r="E862" s="38" t="s">
        <v>124</v>
      </c>
      <c r="F862" s="84" t="s">
        <v>125</v>
      </c>
      <c r="G862" s="40" t="s">
        <v>126</v>
      </c>
      <c r="H862" s="41" t="s">
        <v>127</v>
      </c>
    </row>
    <row r="863" spans="2:8" ht="30" x14ac:dyDescent="0.25">
      <c r="B863" s="42" t="s">
        <v>859</v>
      </c>
      <c r="C863" s="43" t="s">
        <v>860</v>
      </c>
      <c r="D863" s="44" t="s">
        <v>123</v>
      </c>
      <c r="E863" s="38" t="s">
        <v>128</v>
      </c>
      <c r="F863" s="84"/>
      <c r="G863" s="40"/>
      <c r="H863" s="45">
        <f>SUM(H866:H868)</f>
        <v>4592.3629220000003</v>
      </c>
    </row>
    <row r="864" spans="2:8" x14ac:dyDescent="0.25">
      <c r="B864" s="53" t="s">
        <v>701</v>
      </c>
      <c r="C864" s="47" t="s">
        <v>153</v>
      </c>
      <c r="D864" s="69" t="s">
        <v>138</v>
      </c>
      <c r="E864" s="49" t="s">
        <v>272</v>
      </c>
      <c r="F864" s="71">
        <v>5</v>
      </c>
      <c r="G864" s="88">
        <v>8.24</v>
      </c>
      <c r="H864" s="51">
        <f t="shared" ref="H864:H868" si="83">F864*G864</f>
        <v>41.2</v>
      </c>
    </row>
    <row r="865" spans="2:8" x14ac:dyDescent="0.25">
      <c r="B865" s="53" t="s">
        <v>702</v>
      </c>
      <c r="C865" s="47" t="s">
        <v>703</v>
      </c>
      <c r="D865" s="69" t="s">
        <v>138</v>
      </c>
      <c r="E865" s="49" t="s">
        <v>272</v>
      </c>
      <c r="F865" s="71">
        <v>5</v>
      </c>
      <c r="G865" s="88">
        <v>4.8600000000000003</v>
      </c>
      <c r="H865" s="51">
        <f t="shared" si="83"/>
        <v>24.3</v>
      </c>
    </row>
    <row r="866" spans="2:8" x14ac:dyDescent="0.25">
      <c r="B866" s="53"/>
      <c r="C866" s="43" t="s">
        <v>155</v>
      </c>
      <c r="D866" s="61" t="s">
        <v>156</v>
      </c>
      <c r="E866" s="38" t="s">
        <v>139</v>
      </c>
      <c r="F866" s="121">
        <v>1.3</v>
      </c>
      <c r="G866" s="51"/>
      <c r="H866" s="63">
        <f>(SUM(H864:H865))*(1+F866)</f>
        <v>150.64999999999998</v>
      </c>
    </row>
    <row r="867" spans="2:8" ht="30" x14ac:dyDescent="0.25">
      <c r="B867" s="53" t="s">
        <v>861</v>
      </c>
      <c r="C867" s="47" t="s">
        <v>860</v>
      </c>
      <c r="D867" s="69" t="s">
        <v>123</v>
      </c>
      <c r="E867" s="49" t="s">
        <v>159</v>
      </c>
      <c r="F867" s="71">
        <v>1</v>
      </c>
      <c r="G867" s="114">
        <v>4429.68</v>
      </c>
      <c r="H867" s="51">
        <f t="shared" si="83"/>
        <v>4429.68</v>
      </c>
    </row>
    <row r="868" spans="2:8" ht="30" x14ac:dyDescent="0.25">
      <c r="B868" s="79" t="s">
        <v>862</v>
      </c>
      <c r="C868" s="47" t="s">
        <v>863</v>
      </c>
      <c r="D868" s="69" t="s">
        <v>135</v>
      </c>
      <c r="E868" s="49" t="s">
        <v>159</v>
      </c>
      <c r="F868" s="71">
        <v>3.3700000000000001E-2</v>
      </c>
      <c r="G868" s="82">
        <v>357.06</v>
      </c>
      <c r="H868" s="51">
        <f t="shared" si="83"/>
        <v>12.032922000000001</v>
      </c>
    </row>
    <row r="869" spans="2:8" x14ac:dyDescent="0.25">
      <c r="B869" s="52" t="s">
        <v>130</v>
      </c>
      <c r="C869" s="192" t="s">
        <v>321</v>
      </c>
      <c r="D869" s="192"/>
      <c r="E869" s="192"/>
      <c r="F869" s="192"/>
      <c r="G869" s="192"/>
      <c r="H869" s="192"/>
    </row>
    <row r="872" spans="2:8" ht="15.75" x14ac:dyDescent="0.25">
      <c r="B872" s="218" t="s">
        <v>524</v>
      </c>
      <c r="C872" s="214"/>
      <c r="D872" s="214"/>
      <c r="E872" s="214"/>
      <c r="F872" s="214"/>
      <c r="G872" s="214"/>
      <c r="H872" s="214"/>
    </row>
    <row r="873" spans="2:8" x14ac:dyDescent="0.25">
      <c r="B873" s="38" t="s">
        <v>121</v>
      </c>
      <c r="C873" s="39" t="s">
        <v>122</v>
      </c>
      <c r="D873" s="38" t="s">
        <v>123</v>
      </c>
      <c r="E873" s="38" t="s">
        <v>124</v>
      </c>
      <c r="F873" s="84" t="s">
        <v>125</v>
      </c>
      <c r="G873" s="40" t="s">
        <v>126</v>
      </c>
      <c r="H873" s="41" t="s">
        <v>127</v>
      </c>
    </row>
    <row r="874" spans="2:8" ht="30" x14ac:dyDescent="0.25">
      <c r="B874" s="42" t="s">
        <v>864</v>
      </c>
      <c r="C874" s="43" t="s">
        <v>865</v>
      </c>
      <c r="D874" s="44" t="s">
        <v>123</v>
      </c>
      <c r="E874" s="38" t="s">
        <v>128</v>
      </c>
      <c r="F874" s="84"/>
      <c r="G874" s="40"/>
      <c r="H874" s="45">
        <f>SUM(H877:H888)</f>
        <v>385.86256809999998</v>
      </c>
    </row>
    <row r="875" spans="2:8" x14ac:dyDescent="0.25">
      <c r="B875" s="79" t="s">
        <v>866</v>
      </c>
      <c r="C875" s="47" t="s">
        <v>985</v>
      </c>
      <c r="D875" s="69" t="s">
        <v>138</v>
      </c>
      <c r="E875" s="49" t="s">
        <v>272</v>
      </c>
      <c r="F875" s="71">
        <v>4.8960999999999997</v>
      </c>
      <c r="G875" s="88">
        <v>5.13</v>
      </c>
      <c r="H875" s="51">
        <f t="shared" ref="H875:H888" si="84">F875*G875</f>
        <v>25.116992999999997</v>
      </c>
    </row>
    <row r="876" spans="2:8" x14ac:dyDescent="0.25">
      <c r="B876" s="53" t="s">
        <v>867</v>
      </c>
      <c r="C876" s="47" t="s">
        <v>986</v>
      </c>
      <c r="D876" s="69" t="s">
        <v>138</v>
      </c>
      <c r="E876" s="49" t="s">
        <v>272</v>
      </c>
      <c r="F876" s="71">
        <v>4.8960999999999997</v>
      </c>
      <c r="G876" s="88">
        <v>8.24</v>
      </c>
      <c r="H876" s="51">
        <f t="shared" si="84"/>
        <v>40.343863999999996</v>
      </c>
    </row>
    <row r="877" spans="2:8" x14ac:dyDescent="0.25">
      <c r="B877" s="53"/>
      <c r="C877" s="43" t="s">
        <v>155</v>
      </c>
      <c r="D877" s="61" t="s">
        <v>156</v>
      </c>
      <c r="E877" s="38" t="s">
        <v>139</v>
      </c>
      <c r="F877" s="121">
        <v>1.3</v>
      </c>
      <c r="G877" s="51"/>
      <c r="H877" s="63">
        <f>(SUM(H875:H876))*(1+F877)</f>
        <v>150.55997109999996</v>
      </c>
    </row>
    <row r="878" spans="2:8" x14ac:dyDescent="0.25">
      <c r="B878" s="53" t="s">
        <v>868</v>
      </c>
      <c r="C878" s="47" t="s">
        <v>869</v>
      </c>
      <c r="D878" s="69" t="s">
        <v>123</v>
      </c>
      <c r="E878" s="49" t="s">
        <v>159</v>
      </c>
      <c r="F878" s="71">
        <v>8</v>
      </c>
      <c r="G878" s="88">
        <v>0.59</v>
      </c>
      <c r="H878" s="51">
        <f t="shared" si="84"/>
        <v>4.72</v>
      </c>
    </row>
    <row r="879" spans="2:8" x14ac:dyDescent="0.25">
      <c r="B879" s="79" t="s">
        <v>870</v>
      </c>
      <c r="C879" s="47" t="s">
        <v>871</v>
      </c>
      <c r="D879" s="69" t="s">
        <v>123</v>
      </c>
      <c r="E879" s="49" t="s">
        <v>159</v>
      </c>
      <c r="F879" s="71">
        <v>4</v>
      </c>
      <c r="G879" s="88">
        <v>2.79</v>
      </c>
      <c r="H879" s="51">
        <f t="shared" si="84"/>
        <v>11.16</v>
      </c>
    </row>
    <row r="880" spans="2:8" x14ac:dyDescent="0.25">
      <c r="B880" s="79" t="s">
        <v>872</v>
      </c>
      <c r="C880" s="47" t="s">
        <v>873</v>
      </c>
      <c r="D880" s="69" t="s">
        <v>123</v>
      </c>
      <c r="E880" s="49" t="s">
        <v>159</v>
      </c>
      <c r="F880" s="71">
        <v>8</v>
      </c>
      <c r="G880" s="88">
        <v>0.49</v>
      </c>
      <c r="H880" s="51">
        <f t="shared" si="84"/>
        <v>3.92</v>
      </c>
    </row>
    <row r="881" spans="2:8" x14ac:dyDescent="0.25">
      <c r="B881" s="53" t="s">
        <v>874</v>
      </c>
      <c r="C881" s="47" t="s">
        <v>875</v>
      </c>
      <c r="D881" s="69" t="s">
        <v>123</v>
      </c>
      <c r="E881" s="49" t="s">
        <v>159</v>
      </c>
      <c r="F881" s="71">
        <v>2</v>
      </c>
      <c r="G881" s="88">
        <v>3.76</v>
      </c>
      <c r="H881" s="51">
        <f t="shared" si="84"/>
        <v>7.52</v>
      </c>
    </row>
    <row r="882" spans="2:8" x14ac:dyDescent="0.25">
      <c r="B882" s="53" t="s">
        <v>876</v>
      </c>
      <c r="C882" s="47" t="s">
        <v>877</v>
      </c>
      <c r="D882" s="69" t="s">
        <v>123</v>
      </c>
      <c r="E882" s="49" t="s">
        <v>159</v>
      </c>
      <c r="F882" s="71">
        <v>4</v>
      </c>
      <c r="G882" s="88">
        <v>24.62</v>
      </c>
      <c r="H882" s="51">
        <f t="shared" si="84"/>
        <v>98.48</v>
      </c>
    </row>
    <row r="883" spans="2:8" x14ac:dyDescent="0.25">
      <c r="B883" s="79" t="s">
        <v>878</v>
      </c>
      <c r="C883" s="47" t="s">
        <v>879</v>
      </c>
      <c r="D883" s="69" t="s">
        <v>123</v>
      </c>
      <c r="E883" s="49" t="s">
        <v>159</v>
      </c>
      <c r="F883" s="71">
        <v>3</v>
      </c>
      <c r="G883" s="88">
        <v>6.77</v>
      </c>
      <c r="H883" s="51">
        <f t="shared" si="84"/>
        <v>20.309999999999999</v>
      </c>
    </row>
    <row r="884" spans="2:8" x14ac:dyDescent="0.25">
      <c r="B884" s="53" t="s">
        <v>880</v>
      </c>
      <c r="C884" s="47" t="s">
        <v>881</v>
      </c>
      <c r="D884" s="69" t="s">
        <v>143</v>
      </c>
      <c r="E884" s="49" t="s">
        <v>159</v>
      </c>
      <c r="F884" s="71">
        <v>11.9945</v>
      </c>
      <c r="G884" s="88">
        <v>2.4900000000000002</v>
      </c>
      <c r="H884" s="51">
        <f t="shared" si="84"/>
        <v>29.866305000000004</v>
      </c>
    </row>
    <row r="885" spans="2:8" x14ac:dyDescent="0.25">
      <c r="B885" s="79" t="s">
        <v>882</v>
      </c>
      <c r="C885" s="47" t="s">
        <v>883</v>
      </c>
      <c r="D885" s="69" t="s">
        <v>143</v>
      </c>
      <c r="E885" s="49" t="s">
        <v>159</v>
      </c>
      <c r="F885" s="71">
        <v>1.3798999999999999</v>
      </c>
      <c r="G885" s="88">
        <v>9.32</v>
      </c>
      <c r="H885" s="51">
        <f t="shared" si="84"/>
        <v>12.860667999999999</v>
      </c>
    </row>
    <row r="886" spans="2:8" x14ac:dyDescent="0.25">
      <c r="B886" s="53" t="s">
        <v>884</v>
      </c>
      <c r="C886" s="47" t="s">
        <v>885</v>
      </c>
      <c r="D886" s="69" t="s">
        <v>123</v>
      </c>
      <c r="E886" s="49" t="s">
        <v>159</v>
      </c>
      <c r="F886" s="71">
        <v>1.6533</v>
      </c>
      <c r="G886" s="88">
        <v>15.88</v>
      </c>
      <c r="H886" s="51">
        <f t="shared" si="84"/>
        <v>26.254404000000001</v>
      </c>
    </row>
    <row r="887" spans="2:8" x14ac:dyDescent="0.25">
      <c r="B887" s="53" t="s">
        <v>886</v>
      </c>
      <c r="C887" s="47" t="s">
        <v>887</v>
      </c>
      <c r="D887" s="69" t="s">
        <v>123</v>
      </c>
      <c r="E887" s="49" t="s">
        <v>159</v>
      </c>
      <c r="F887" s="71">
        <v>0.40699999999999997</v>
      </c>
      <c r="G887" s="88">
        <v>43.46</v>
      </c>
      <c r="H887" s="51">
        <f t="shared" si="84"/>
        <v>17.688219999999998</v>
      </c>
    </row>
    <row r="888" spans="2:8" x14ac:dyDescent="0.25">
      <c r="B888" s="79" t="s">
        <v>888</v>
      </c>
      <c r="C888" s="47" t="s">
        <v>889</v>
      </c>
      <c r="D888" s="69" t="s">
        <v>123</v>
      </c>
      <c r="E888" s="49" t="s">
        <v>159</v>
      </c>
      <c r="F888" s="71">
        <v>1.6819999999999999</v>
      </c>
      <c r="G888" s="88">
        <v>1.5</v>
      </c>
      <c r="H888" s="51">
        <f t="shared" si="84"/>
        <v>2.5229999999999997</v>
      </c>
    </row>
    <row r="889" spans="2:8" x14ac:dyDescent="0.25">
      <c r="B889" s="52" t="s">
        <v>130</v>
      </c>
      <c r="C889" s="192" t="s">
        <v>519</v>
      </c>
      <c r="D889" s="192"/>
      <c r="E889" s="192"/>
      <c r="F889" s="192"/>
      <c r="G889" s="192"/>
      <c r="H889" s="192"/>
    </row>
    <row r="892" spans="2:8" ht="15.75" x14ac:dyDescent="0.25">
      <c r="B892" s="218" t="s">
        <v>525</v>
      </c>
      <c r="C892" s="214"/>
      <c r="D892" s="214"/>
      <c r="E892" s="214"/>
      <c r="F892" s="214"/>
      <c r="G892" s="214"/>
      <c r="H892" s="214"/>
    </row>
    <row r="893" spans="2:8" x14ac:dyDescent="0.25">
      <c r="B893" s="38" t="s">
        <v>121</v>
      </c>
      <c r="C893" s="39" t="s">
        <v>122</v>
      </c>
      <c r="D893" s="38" t="s">
        <v>123</v>
      </c>
      <c r="E893" s="38" t="s">
        <v>124</v>
      </c>
      <c r="F893" s="84" t="s">
        <v>125</v>
      </c>
      <c r="G893" s="40" t="s">
        <v>126</v>
      </c>
      <c r="H893" s="41" t="s">
        <v>127</v>
      </c>
    </row>
    <row r="894" spans="2:8" ht="30" x14ac:dyDescent="0.25">
      <c r="B894" s="42" t="s">
        <v>890</v>
      </c>
      <c r="C894" s="43" t="s">
        <v>891</v>
      </c>
      <c r="D894" s="44" t="s">
        <v>123</v>
      </c>
      <c r="E894" s="38" t="s">
        <v>128</v>
      </c>
      <c r="F894" s="84"/>
      <c r="G894" s="40"/>
      <c r="H894" s="45">
        <f>SUM(H897:H904)</f>
        <v>44.194660000000006</v>
      </c>
    </row>
    <row r="895" spans="2:8" x14ac:dyDescent="0.25">
      <c r="B895" s="79" t="s">
        <v>763</v>
      </c>
      <c r="C895" s="47" t="s">
        <v>764</v>
      </c>
      <c r="D895" s="69" t="s">
        <v>138</v>
      </c>
      <c r="E895" s="49" t="s">
        <v>272</v>
      </c>
      <c r="F895" s="71">
        <v>0.65</v>
      </c>
      <c r="G895" s="88">
        <v>8.24</v>
      </c>
      <c r="H895" s="51">
        <f t="shared" ref="H895:H904" si="85">F895*G895</f>
        <v>5.3560000000000008</v>
      </c>
    </row>
    <row r="896" spans="2:8" x14ac:dyDescent="0.25">
      <c r="B896" s="53" t="s">
        <v>702</v>
      </c>
      <c r="C896" s="47" t="s">
        <v>703</v>
      </c>
      <c r="D896" s="69" t="s">
        <v>138</v>
      </c>
      <c r="E896" s="49" t="s">
        <v>272</v>
      </c>
      <c r="F896" s="71">
        <v>0.65</v>
      </c>
      <c r="G896" s="88">
        <v>4.8600000000000003</v>
      </c>
      <c r="H896" s="51">
        <f t="shared" si="85"/>
        <v>3.1590000000000003</v>
      </c>
    </row>
    <row r="897" spans="2:8" x14ac:dyDescent="0.25">
      <c r="B897" s="53"/>
      <c r="C897" s="43" t="s">
        <v>155</v>
      </c>
      <c r="D897" s="61" t="s">
        <v>156</v>
      </c>
      <c r="E897" s="38" t="s">
        <v>139</v>
      </c>
      <c r="F897" s="121">
        <v>1.3</v>
      </c>
      <c r="G897" s="51"/>
      <c r="H897" s="63">
        <f>(SUM(H895:H896))*(1+F897)</f>
        <v>19.584499999999998</v>
      </c>
    </row>
    <row r="898" spans="2:8" x14ac:dyDescent="0.25">
      <c r="B898" s="53" t="s">
        <v>892</v>
      </c>
      <c r="C898" s="47" t="s">
        <v>893</v>
      </c>
      <c r="D898" s="69" t="s">
        <v>168</v>
      </c>
      <c r="E898" s="49" t="s">
        <v>159</v>
      </c>
      <c r="F898" s="71">
        <v>3.9E-2</v>
      </c>
      <c r="G898" s="88">
        <v>50.04</v>
      </c>
      <c r="H898" s="51">
        <f t="shared" si="85"/>
        <v>1.95156</v>
      </c>
    </row>
    <row r="899" spans="2:8" x14ac:dyDescent="0.25">
      <c r="B899" s="79" t="s">
        <v>894</v>
      </c>
      <c r="C899" s="47" t="s">
        <v>895</v>
      </c>
      <c r="D899" s="69" t="s">
        <v>168</v>
      </c>
      <c r="E899" s="49" t="s">
        <v>159</v>
      </c>
      <c r="F899" s="71">
        <v>0.09</v>
      </c>
      <c r="G899" s="88">
        <v>18.32</v>
      </c>
      <c r="H899" s="51">
        <f t="shared" si="85"/>
        <v>1.6488</v>
      </c>
    </row>
    <row r="900" spans="2:8" x14ac:dyDescent="0.25">
      <c r="B900" s="53" t="s">
        <v>896</v>
      </c>
      <c r="C900" s="47" t="s">
        <v>897</v>
      </c>
      <c r="D900" s="69" t="s">
        <v>173</v>
      </c>
      <c r="E900" s="49" t="s">
        <v>159</v>
      </c>
      <c r="F900" s="71">
        <v>0.06</v>
      </c>
      <c r="G900" s="93">
        <v>16.93</v>
      </c>
      <c r="H900" s="51">
        <f t="shared" si="85"/>
        <v>1.0158</v>
      </c>
    </row>
    <row r="901" spans="2:8" x14ac:dyDescent="0.25">
      <c r="B901" s="79" t="s">
        <v>898</v>
      </c>
      <c r="C901" s="47" t="s">
        <v>899</v>
      </c>
      <c r="D901" s="69" t="s">
        <v>123</v>
      </c>
      <c r="E901" s="49" t="s">
        <v>159</v>
      </c>
      <c r="F901" s="71">
        <v>0.2</v>
      </c>
      <c r="G901" s="88">
        <v>0.47</v>
      </c>
      <c r="H901" s="51">
        <f t="shared" si="85"/>
        <v>9.4E-2</v>
      </c>
    </row>
    <row r="902" spans="2:8" x14ac:dyDescent="0.25">
      <c r="B902" s="53" t="s">
        <v>900</v>
      </c>
      <c r="C902" s="47" t="s">
        <v>901</v>
      </c>
      <c r="D902" s="69" t="s">
        <v>143</v>
      </c>
      <c r="E902" s="49" t="s">
        <v>159</v>
      </c>
      <c r="F902" s="71">
        <v>4</v>
      </c>
      <c r="G902" s="88">
        <v>2.98</v>
      </c>
      <c r="H902" s="51">
        <f t="shared" si="85"/>
        <v>11.92</v>
      </c>
    </row>
    <row r="903" spans="2:8" x14ac:dyDescent="0.25">
      <c r="B903" s="53" t="s">
        <v>902</v>
      </c>
      <c r="C903" s="47" t="s">
        <v>903</v>
      </c>
      <c r="D903" s="69" t="s">
        <v>123</v>
      </c>
      <c r="E903" s="49" t="s">
        <v>159</v>
      </c>
      <c r="F903" s="71">
        <v>3</v>
      </c>
      <c r="G903" s="88">
        <v>2.0699999999999998</v>
      </c>
      <c r="H903" s="51">
        <f t="shared" si="85"/>
        <v>6.2099999999999991</v>
      </c>
    </row>
    <row r="904" spans="2:8" x14ac:dyDescent="0.25">
      <c r="B904" s="79" t="s">
        <v>904</v>
      </c>
      <c r="C904" s="47" t="s">
        <v>905</v>
      </c>
      <c r="D904" s="69" t="s">
        <v>123</v>
      </c>
      <c r="E904" s="49" t="s">
        <v>159</v>
      </c>
      <c r="F904" s="71">
        <v>3</v>
      </c>
      <c r="G904" s="88">
        <v>0.59</v>
      </c>
      <c r="H904" s="51">
        <f t="shared" si="85"/>
        <v>1.77</v>
      </c>
    </row>
    <row r="905" spans="2:8" x14ac:dyDescent="0.25">
      <c r="B905" s="52" t="s">
        <v>130</v>
      </c>
      <c r="C905" s="192" t="s">
        <v>321</v>
      </c>
      <c r="D905" s="192"/>
      <c r="E905" s="192"/>
      <c r="F905" s="192"/>
      <c r="G905" s="192"/>
      <c r="H905" s="192"/>
    </row>
    <row r="908" spans="2:8" ht="15.75" x14ac:dyDescent="0.25">
      <c r="B908" s="218" t="s">
        <v>526</v>
      </c>
      <c r="C908" s="214"/>
      <c r="D908" s="214"/>
      <c r="E908" s="214"/>
      <c r="F908" s="214"/>
      <c r="G908" s="214"/>
      <c r="H908" s="214"/>
    </row>
    <row r="909" spans="2:8" x14ac:dyDescent="0.25">
      <c r="B909" s="38" t="s">
        <v>121</v>
      </c>
      <c r="C909" s="39" t="s">
        <v>122</v>
      </c>
      <c r="D909" s="38" t="s">
        <v>123</v>
      </c>
      <c r="E909" s="38" t="s">
        <v>124</v>
      </c>
      <c r="F909" s="84" t="s">
        <v>125</v>
      </c>
      <c r="G909" s="40" t="s">
        <v>126</v>
      </c>
      <c r="H909" s="41" t="s">
        <v>127</v>
      </c>
    </row>
    <row r="910" spans="2:8" x14ac:dyDescent="0.25">
      <c r="B910" s="42" t="s">
        <v>1462</v>
      </c>
      <c r="C910" s="43" t="s">
        <v>528</v>
      </c>
      <c r="D910" s="44" t="s">
        <v>123</v>
      </c>
      <c r="E910" s="38" t="s">
        <v>128</v>
      </c>
      <c r="F910" s="84"/>
      <c r="G910" s="40"/>
      <c r="H910" s="45">
        <f>SUM(H913:H920)</f>
        <v>71.399989999999988</v>
      </c>
    </row>
    <row r="911" spans="2:8" x14ac:dyDescent="0.25">
      <c r="B911" s="79" t="s">
        <v>763</v>
      </c>
      <c r="C911" s="47" t="s">
        <v>764</v>
      </c>
      <c r="D911" s="69" t="s">
        <v>138</v>
      </c>
      <c r="E911" s="49" t="s">
        <v>272</v>
      </c>
      <c r="F911" s="71">
        <v>0.3</v>
      </c>
      <c r="G911" s="88">
        <v>8.24</v>
      </c>
      <c r="H911" s="51">
        <f t="shared" ref="H911:H920" si="86">F911*G911</f>
        <v>2.472</v>
      </c>
    </row>
    <row r="912" spans="2:8" x14ac:dyDescent="0.25">
      <c r="B912" s="53" t="s">
        <v>702</v>
      </c>
      <c r="C912" s="47" t="s">
        <v>703</v>
      </c>
      <c r="D912" s="69" t="s">
        <v>138</v>
      </c>
      <c r="E912" s="49" t="s">
        <v>272</v>
      </c>
      <c r="F912" s="71">
        <v>0.3</v>
      </c>
      <c r="G912" s="88">
        <v>4.8600000000000003</v>
      </c>
      <c r="H912" s="51">
        <f t="shared" si="86"/>
        <v>1.458</v>
      </c>
    </row>
    <row r="913" spans="2:8" x14ac:dyDescent="0.25">
      <c r="B913" s="53"/>
      <c r="C913" s="43" t="s">
        <v>155</v>
      </c>
      <c r="D913" s="61" t="s">
        <v>156</v>
      </c>
      <c r="E913" s="38" t="s">
        <v>139</v>
      </c>
      <c r="F913" s="121">
        <v>1.3</v>
      </c>
      <c r="G913" s="51"/>
      <c r="H913" s="63">
        <f>(SUM(H911:H912))*(1+F913)</f>
        <v>9.0389999999999979</v>
      </c>
    </row>
    <row r="914" spans="2:8" x14ac:dyDescent="0.25">
      <c r="B914" s="53" t="s">
        <v>892</v>
      </c>
      <c r="C914" s="47" t="s">
        <v>893</v>
      </c>
      <c r="D914" s="69" t="s">
        <v>64</v>
      </c>
      <c r="E914" s="49" t="s">
        <v>159</v>
      </c>
      <c r="F914" s="71">
        <v>1.4999999999999999E-2</v>
      </c>
      <c r="G914" s="88">
        <v>55.79</v>
      </c>
      <c r="H914" s="51">
        <f t="shared" si="86"/>
        <v>0.83684999999999998</v>
      </c>
    </row>
    <row r="915" spans="2:8" x14ac:dyDescent="0.25">
      <c r="B915" s="53" t="s">
        <v>1464</v>
      </c>
      <c r="C915" s="47" t="s">
        <v>895</v>
      </c>
      <c r="D915" s="69" t="s">
        <v>64</v>
      </c>
      <c r="E915" s="49" t="s">
        <v>159</v>
      </c>
      <c r="F915" s="71">
        <v>0.06</v>
      </c>
      <c r="G915" s="88">
        <v>43.4</v>
      </c>
      <c r="H915" s="51">
        <f t="shared" si="86"/>
        <v>2.6039999999999996</v>
      </c>
    </row>
    <row r="916" spans="2:8" x14ac:dyDescent="0.25">
      <c r="B916" s="53" t="s">
        <v>1463</v>
      </c>
      <c r="C916" s="47" t="s">
        <v>897</v>
      </c>
      <c r="D916" s="69" t="s">
        <v>1386</v>
      </c>
      <c r="E916" s="49" t="s">
        <v>159</v>
      </c>
      <c r="F916" s="71">
        <v>2.3E-2</v>
      </c>
      <c r="G916" s="88">
        <v>41.18</v>
      </c>
      <c r="H916" s="51">
        <f t="shared" si="86"/>
        <v>0.94713999999999998</v>
      </c>
    </row>
    <row r="917" spans="2:8" x14ac:dyDescent="0.25">
      <c r="B917" s="53" t="s">
        <v>1388</v>
      </c>
      <c r="C917" s="47" t="s">
        <v>899</v>
      </c>
      <c r="D917" s="69" t="s">
        <v>123</v>
      </c>
      <c r="E917" s="49" t="s">
        <v>159</v>
      </c>
      <c r="F917" s="71">
        <v>0.2</v>
      </c>
      <c r="G917" s="88">
        <v>0.42</v>
      </c>
      <c r="H917" s="51">
        <f t="shared" si="86"/>
        <v>8.4000000000000005E-2</v>
      </c>
    </row>
    <row r="918" spans="2:8" x14ac:dyDescent="0.25">
      <c r="B918" s="53" t="s">
        <v>1466</v>
      </c>
      <c r="C918" s="47" t="s">
        <v>1465</v>
      </c>
      <c r="D918" s="69" t="s">
        <v>143</v>
      </c>
      <c r="E918" s="49" t="s">
        <v>159</v>
      </c>
      <c r="F918" s="71">
        <v>8</v>
      </c>
      <c r="G918" s="88">
        <v>5.52</v>
      </c>
      <c r="H918" s="51">
        <f t="shared" si="86"/>
        <v>44.16</v>
      </c>
    </row>
    <row r="919" spans="2:8" x14ac:dyDescent="0.25">
      <c r="B919" s="53"/>
      <c r="C919" s="47" t="s">
        <v>1467</v>
      </c>
      <c r="D919" s="69" t="s">
        <v>64</v>
      </c>
      <c r="E919" s="49" t="s">
        <v>159</v>
      </c>
      <c r="F919" s="71">
        <v>0.05</v>
      </c>
      <c r="G919" s="88">
        <v>12.98</v>
      </c>
      <c r="H919" s="51">
        <f t="shared" si="86"/>
        <v>0.64900000000000002</v>
      </c>
    </row>
    <row r="920" spans="2:8" x14ac:dyDescent="0.25">
      <c r="B920" s="53" t="s">
        <v>537</v>
      </c>
      <c r="C920" s="47" t="s">
        <v>905</v>
      </c>
      <c r="D920" s="69" t="s">
        <v>123</v>
      </c>
      <c r="E920" s="49" t="s">
        <v>159</v>
      </c>
      <c r="F920" s="71">
        <v>3</v>
      </c>
      <c r="G920" s="88">
        <v>4.3600000000000003</v>
      </c>
      <c r="H920" s="51">
        <f t="shared" si="86"/>
        <v>13.080000000000002</v>
      </c>
    </row>
    <row r="921" spans="2:8" x14ac:dyDescent="0.25">
      <c r="B921" s="52" t="s">
        <v>130</v>
      </c>
      <c r="C921" s="192" t="s">
        <v>321</v>
      </c>
      <c r="D921" s="192"/>
      <c r="E921" s="192"/>
      <c r="F921" s="192"/>
      <c r="G921" s="192"/>
      <c r="H921" s="192"/>
    </row>
    <row r="924" spans="2:8" ht="15.75" x14ac:dyDescent="0.25">
      <c r="B924" s="218" t="s">
        <v>542</v>
      </c>
      <c r="C924" s="214"/>
      <c r="D924" s="214"/>
      <c r="E924" s="214"/>
      <c r="F924" s="214"/>
      <c r="G924" s="214"/>
      <c r="H924" s="214"/>
    </row>
    <row r="925" spans="2:8" x14ac:dyDescent="0.25">
      <c r="B925" s="38" t="s">
        <v>121</v>
      </c>
      <c r="C925" s="39" t="s">
        <v>122</v>
      </c>
      <c r="D925" s="38" t="s">
        <v>123</v>
      </c>
      <c r="E925" s="38" t="s">
        <v>124</v>
      </c>
      <c r="F925" s="84" t="s">
        <v>125</v>
      </c>
      <c r="G925" s="40" t="s">
        <v>126</v>
      </c>
      <c r="H925" s="41" t="s">
        <v>127</v>
      </c>
    </row>
    <row r="926" spans="2:8" x14ac:dyDescent="0.25">
      <c r="B926" s="42" t="s">
        <v>906</v>
      </c>
      <c r="C926" s="43" t="s">
        <v>907</v>
      </c>
      <c r="D926" s="44" t="s">
        <v>123</v>
      </c>
      <c r="E926" s="38" t="s">
        <v>128</v>
      </c>
      <c r="F926" s="84"/>
      <c r="G926" s="40"/>
      <c r="H926" s="45">
        <f>SUM(H929:H937)</f>
        <v>91.327690000000004</v>
      </c>
    </row>
    <row r="927" spans="2:8" x14ac:dyDescent="0.25">
      <c r="B927" s="53" t="s">
        <v>763</v>
      </c>
      <c r="C927" s="47" t="s">
        <v>764</v>
      </c>
      <c r="D927" s="69" t="s">
        <v>138</v>
      </c>
      <c r="E927" s="49" t="s">
        <v>272</v>
      </c>
      <c r="F927" s="71">
        <v>0.3</v>
      </c>
      <c r="G927" s="88">
        <v>8.24</v>
      </c>
      <c r="H927" s="51">
        <f t="shared" ref="H927:H937" si="87">F927*G927</f>
        <v>2.472</v>
      </c>
    </row>
    <row r="928" spans="2:8" x14ac:dyDescent="0.25">
      <c r="B928" s="53" t="s">
        <v>702</v>
      </c>
      <c r="C928" s="47" t="s">
        <v>703</v>
      </c>
      <c r="D928" s="69" t="s">
        <v>138</v>
      </c>
      <c r="E928" s="49" t="s">
        <v>272</v>
      </c>
      <c r="F928" s="71">
        <v>0.3</v>
      </c>
      <c r="G928" s="88">
        <v>4.8600000000000003</v>
      </c>
      <c r="H928" s="51">
        <f t="shared" si="87"/>
        <v>1.458</v>
      </c>
    </row>
    <row r="929" spans="2:8" x14ac:dyDescent="0.25">
      <c r="B929" s="53"/>
      <c r="C929" s="43" t="s">
        <v>155</v>
      </c>
      <c r="D929" s="61" t="s">
        <v>156</v>
      </c>
      <c r="E929" s="38" t="s">
        <v>139</v>
      </c>
      <c r="F929" s="121">
        <v>1.3</v>
      </c>
      <c r="G929" s="51"/>
      <c r="H929" s="63">
        <f>(SUM(H927:H928))*(1+F929)</f>
        <v>9.0389999999999979</v>
      </c>
    </row>
    <row r="930" spans="2:8" x14ac:dyDescent="0.25">
      <c r="B930" s="53" t="s">
        <v>892</v>
      </c>
      <c r="C930" s="47" t="s">
        <v>893</v>
      </c>
      <c r="D930" s="69" t="s">
        <v>168</v>
      </c>
      <c r="E930" s="49" t="s">
        <v>159</v>
      </c>
      <c r="F930" s="71">
        <v>1.4999999999999999E-2</v>
      </c>
      <c r="G930" s="88">
        <v>50.04</v>
      </c>
      <c r="H930" s="51">
        <f t="shared" si="87"/>
        <v>0.75059999999999993</v>
      </c>
    </row>
    <row r="931" spans="2:8" x14ac:dyDescent="0.25">
      <c r="B931" s="79" t="s">
        <v>894</v>
      </c>
      <c r="C931" s="47" t="s">
        <v>895</v>
      </c>
      <c r="D931" s="69" t="s">
        <v>168</v>
      </c>
      <c r="E931" s="49" t="s">
        <v>159</v>
      </c>
      <c r="F931" s="71">
        <v>0.06</v>
      </c>
      <c r="G931" s="88">
        <v>18.32</v>
      </c>
      <c r="H931" s="51">
        <f t="shared" si="87"/>
        <v>1.0992</v>
      </c>
    </row>
    <row r="932" spans="2:8" x14ac:dyDescent="0.25">
      <c r="B932" s="53" t="s">
        <v>896</v>
      </c>
      <c r="C932" s="47" t="s">
        <v>897</v>
      </c>
      <c r="D932" s="69" t="s">
        <v>173</v>
      </c>
      <c r="E932" s="49" t="s">
        <v>159</v>
      </c>
      <c r="F932" s="71">
        <v>2.3E-2</v>
      </c>
      <c r="G932" s="93">
        <v>16.93</v>
      </c>
      <c r="H932" s="51">
        <f t="shared" si="87"/>
        <v>0.38939000000000001</v>
      </c>
    </row>
    <row r="933" spans="2:8" x14ac:dyDescent="0.25">
      <c r="B933" s="79" t="s">
        <v>908</v>
      </c>
      <c r="C933" s="47" t="s">
        <v>909</v>
      </c>
      <c r="D933" s="69" t="s">
        <v>168</v>
      </c>
      <c r="E933" s="49" t="s">
        <v>159</v>
      </c>
      <c r="F933" s="71">
        <v>0.05</v>
      </c>
      <c r="G933" s="88">
        <v>12.31</v>
      </c>
      <c r="H933" s="51">
        <f t="shared" si="87"/>
        <v>0.61550000000000005</v>
      </c>
    </row>
    <row r="934" spans="2:8" x14ac:dyDescent="0.25">
      <c r="B934" s="53" t="s">
        <v>910</v>
      </c>
      <c r="C934" s="47" t="s">
        <v>911</v>
      </c>
      <c r="D934" s="69" t="s">
        <v>123</v>
      </c>
      <c r="E934" s="49" t="s">
        <v>159</v>
      </c>
      <c r="F934" s="71">
        <v>3</v>
      </c>
      <c r="G934" s="88">
        <v>4.2</v>
      </c>
      <c r="H934" s="51">
        <f t="shared" si="87"/>
        <v>12.600000000000001</v>
      </c>
    </row>
    <row r="935" spans="2:8" x14ac:dyDescent="0.25">
      <c r="B935" s="53" t="s">
        <v>898</v>
      </c>
      <c r="C935" s="47" t="s">
        <v>899</v>
      </c>
      <c r="D935" s="69" t="s">
        <v>123</v>
      </c>
      <c r="E935" s="49" t="s">
        <v>159</v>
      </c>
      <c r="F935" s="71">
        <v>0.2</v>
      </c>
      <c r="G935" s="88">
        <v>0.47</v>
      </c>
      <c r="H935" s="51">
        <f t="shared" si="87"/>
        <v>9.4E-2</v>
      </c>
    </row>
    <row r="936" spans="2:8" x14ac:dyDescent="0.25">
      <c r="B936" s="53" t="s">
        <v>912</v>
      </c>
      <c r="C936" s="47" t="s">
        <v>913</v>
      </c>
      <c r="D936" s="69" t="s">
        <v>143</v>
      </c>
      <c r="E936" s="49" t="s">
        <v>159</v>
      </c>
      <c r="F936" s="71">
        <v>8</v>
      </c>
      <c r="G936" s="88">
        <v>7.34</v>
      </c>
      <c r="H936" s="51">
        <f t="shared" si="87"/>
        <v>58.72</v>
      </c>
    </row>
    <row r="937" spans="2:8" x14ac:dyDescent="0.25">
      <c r="B937" s="79" t="s">
        <v>914</v>
      </c>
      <c r="C937" s="47" t="s">
        <v>915</v>
      </c>
      <c r="D937" s="69" t="s">
        <v>123</v>
      </c>
      <c r="E937" s="49" t="s">
        <v>159</v>
      </c>
      <c r="F937" s="71">
        <v>1</v>
      </c>
      <c r="G937" s="88">
        <v>8.02</v>
      </c>
      <c r="H937" s="51">
        <f t="shared" si="87"/>
        <v>8.02</v>
      </c>
    </row>
    <row r="938" spans="2:8" x14ac:dyDescent="0.25">
      <c r="B938" s="52" t="s">
        <v>130</v>
      </c>
      <c r="C938" s="192" t="s">
        <v>321</v>
      </c>
      <c r="D938" s="192"/>
      <c r="E938" s="192"/>
      <c r="F938" s="192"/>
      <c r="G938" s="192"/>
      <c r="H938" s="192"/>
    </row>
    <row r="941" spans="2:8" ht="15.75" x14ac:dyDescent="0.25">
      <c r="B941" s="218" t="s">
        <v>543</v>
      </c>
      <c r="C941" s="214"/>
      <c r="D941" s="214"/>
      <c r="E941" s="214"/>
      <c r="F941" s="214"/>
      <c r="G941" s="214"/>
      <c r="H941" s="214"/>
    </row>
    <row r="942" spans="2:8" x14ac:dyDescent="0.25">
      <c r="B942" s="38" t="s">
        <v>121</v>
      </c>
      <c r="C942" s="39" t="s">
        <v>122</v>
      </c>
      <c r="D942" s="38" t="s">
        <v>123</v>
      </c>
      <c r="E942" s="38" t="s">
        <v>124</v>
      </c>
      <c r="F942" s="84" t="s">
        <v>125</v>
      </c>
      <c r="G942" s="40" t="s">
        <v>126</v>
      </c>
      <c r="H942" s="41" t="s">
        <v>127</v>
      </c>
    </row>
    <row r="943" spans="2:8" x14ac:dyDescent="0.25">
      <c r="B943" s="42" t="s">
        <v>544</v>
      </c>
      <c r="C943" s="43" t="s">
        <v>545</v>
      </c>
      <c r="D943" s="44" t="s">
        <v>123</v>
      </c>
      <c r="E943" s="38" t="s">
        <v>128</v>
      </c>
      <c r="F943" s="84"/>
      <c r="G943" s="40"/>
      <c r="H943" s="45">
        <f>SUM(H946:H951)</f>
        <v>70.477850000000004</v>
      </c>
    </row>
    <row r="944" spans="2:8" x14ac:dyDescent="0.25">
      <c r="B944" s="53" t="s">
        <v>763</v>
      </c>
      <c r="C944" s="47" t="s">
        <v>764</v>
      </c>
      <c r="D944" s="69" t="s">
        <v>138</v>
      </c>
      <c r="E944" s="49" t="s">
        <v>272</v>
      </c>
      <c r="F944" s="73">
        <v>0.4</v>
      </c>
      <c r="G944" s="88">
        <v>4.8600000000000003</v>
      </c>
      <c r="H944" s="51">
        <f t="shared" ref="H944:H951" si="88">F944*G944</f>
        <v>1.9440000000000002</v>
      </c>
    </row>
    <row r="945" spans="2:8" x14ac:dyDescent="0.25">
      <c r="B945" s="53" t="s">
        <v>702</v>
      </c>
      <c r="C945" s="47" t="s">
        <v>703</v>
      </c>
      <c r="D945" s="69" t="s">
        <v>138</v>
      </c>
      <c r="E945" s="49" t="s">
        <v>272</v>
      </c>
      <c r="F945" s="73">
        <v>0.4</v>
      </c>
      <c r="G945" s="88">
        <v>8.24</v>
      </c>
      <c r="H945" s="51">
        <f t="shared" si="88"/>
        <v>3.2960000000000003</v>
      </c>
    </row>
    <row r="946" spans="2:8" x14ac:dyDescent="0.25">
      <c r="B946" s="53"/>
      <c r="C946" s="43" t="s">
        <v>155</v>
      </c>
      <c r="D946" s="61" t="s">
        <v>156</v>
      </c>
      <c r="E946" s="38" t="s">
        <v>139</v>
      </c>
      <c r="F946" s="121">
        <v>1.3</v>
      </c>
      <c r="G946" s="51"/>
      <c r="H946" s="63">
        <f>(SUM(H944:H945))*(1+F946)</f>
        <v>12.052</v>
      </c>
    </row>
    <row r="947" spans="2:8" x14ac:dyDescent="0.25">
      <c r="B947" s="53" t="s">
        <v>892</v>
      </c>
      <c r="C947" s="47" t="s">
        <v>893</v>
      </c>
      <c r="D947" s="69" t="s">
        <v>168</v>
      </c>
      <c r="E947" s="49" t="s">
        <v>159</v>
      </c>
      <c r="F947" s="71">
        <v>1.4999999999999999E-2</v>
      </c>
      <c r="G947" s="88">
        <v>55.79</v>
      </c>
      <c r="H947" s="51">
        <f t="shared" si="88"/>
        <v>0.83684999999999998</v>
      </c>
    </row>
    <row r="948" spans="2:8" x14ac:dyDescent="0.25">
      <c r="B948" s="79" t="s">
        <v>908</v>
      </c>
      <c r="C948" s="47" t="s">
        <v>909</v>
      </c>
      <c r="D948" s="69" t="s">
        <v>168</v>
      </c>
      <c r="E948" s="49" t="s">
        <v>159</v>
      </c>
      <c r="F948" s="71">
        <v>0.05</v>
      </c>
      <c r="G948" s="88">
        <v>12.98</v>
      </c>
      <c r="H948" s="51">
        <f t="shared" si="88"/>
        <v>0.64900000000000002</v>
      </c>
    </row>
    <row r="949" spans="2:8" x14ac:dyDescent="0.25">
      <c r="B949" s="53" t="s">
        <v>1469</v>
      </c>
      <c r="C949" s="47" t="s">
        <v>1468</v>
      </c>
      <c r="D949" s="69" t="s">
        <v>143</v>
      </c>
      <c r="E949" s="49" t="s">
        <v>159</v>
      </c>
      <c r="F949" s="73">
        <v>4</v>
      </c>
      <c r="G949" s="88">
        <v>9</v>
      </c>
      <c r="H949" s="51">
        <f t="shared" si="88"/>
        <v>36</v>
      </c>
    </row>
    <row r="950" spans="2:8" x14ac:dyDescent="0.25">
      <c r="B950" s="53" t="s">
        <v>1471</v>
      </c>
      <c r="C950" s="47" t="s">
        <v>1470</v>
      </c>
      <c r="D950" s="69" t="s">
        <v>123</v>
      </c>
      <c r="E950" s="49" t="s">
        <v>159</v>
      </c>
      <c r="F950" s="73">
        <v>2</v>
      </c>
      <c r="G950" s="88">
        <v>5.1100000000000003</v>
      </c>
      <c r="H950" s="51">
        <f t="shared" si="88"/>
        <v>10.220000000000001</v>
      </c>
    </row>
    <row r="951" spans="2:8" x14ac:dyDescent="0.25">
      <c r="B951" s="79" t="s">
        <v>1473</v>
      </c>
      <c r="C951" s="47" t="s">
        <v>1472</v>
      </c>
      <c r="D951" s="69" t="s">
        <v>123</v>
      </c>
      <c r="E951" s="49" t="s">
        <v>159</v>
      </c>
      <c r="F951" s="73">
        <v>1</v>
      </c>
      <c r="G951" s="88">
        <v>10.72</v>
      </c>
      <c r="H951" s="51">
        <f t="shared" si="88"/>
        <v>10.72</v>
      </c>
    </row>
    <row r="952" spans="2:8" x14ac:dyDescent="0.25">
      <c r="B952" s="52" t="s">
        <v>130</v>
      </c>
      <c r="C952" s="192" t="s">
        <v>321</v>
      </c>
      <c r="D952" s="192"/>
      <c r="E952" s="192"/>
      <c r="F952" s="192"/>
      <c r="G952" s="192"/>
      <c r="H952" s="192"/>
    </row>
    <row r="955" spans="2:8" ht="15.75" x14ac:dyDescent="0.25">
      <c r="B955" s="218" t="s">
        <v>556</v>
      </c>
      <c r="C955" s="214"/>
      <c r="D955" s="214"/>
      <c r="E955" s="214"/>
      <c r="F955" s="214"/>
      <c r="G955" s="214"/>
      <c r="H955" s="214"/>
    </row>
    <row r="956" spans="2:8" x14ac:dyDescent="0.25">
      <c r="B956" s="38" t="s">
        <v>121</v>
      </c>
      <c r="C956" s="39" t="s">
        <v>122</v>
      </c>
      <c r="D956" s="38" t="s">
        <v>123</v>
      </c>
      <c r="E956" s="38" t="s">
        <v>124</v>
      </c>
      <c r="F956" s="84" t="s">
        <v>125</v>
      </c>
      <c r="G956" s="40" t="s">
        <v>126</v>
      </c>
      <c r="H956" s="41" t="s">
        <v>127</v>
      </c>
    </row>
    <row r="957" spans="2:8" x14ac:dyDescent="0.25">
      <c r="B957" s="42" t="s">
        <v>916</v>
      </c>
      <c r="C957" s="43" t="s">
        <v>917</v>
      </c>
      <c r="D957" s="44" t="s">
        <v>123</v>
      </c>
      <c r="E957" s="38" t="s">
        <v>128</v>
      </c>
      <c r="F957" s="84"/>
      <c r="G957" s="40"/>
      <c r="H957" s="45">
        <f>SUM(H961:H966)</f>
        <v>136.99273999999997</v>
      </c>
    </row>
    <row r="958" spans="2:8" x14ac:dyDescent="0.25">
      <c r="B958" s="53" t="s">
        <v>763</v>
      </c>
      <c r="C958" s="47" t="s">
        <v>764</v>
      </c>
      <c r="D958" s="69" t="s">
        <v>138</v>
      </c>
      <c r="E958" s="49" t="s">
        <v>272</v>
      </c>
      <c r="F958" s="71">
        <v>1.22</v>
      </c>
      <c r="G958" s="88">
        <v>8.24</v>
      </c>
      <c r="H958" s="51">
        <f t="shared" ref="H958:H966" si="89">F958*G958</f>
        <v>10.0528</v>
      </c>
    </row>
    <row r="959" spans="2:8" x14ac:dyDescent="0.25">
      <c r="B959" s="79" t="s">
        <v>701</v>
      </c>
      <c r="C959" s="47" t="s">
        <v>735</v>
      </c>
      <c r="D959" s="69" t="s">
        <v>138</v>
      </c>
      <c r="E959" s="49" t="s">
        <v>272</v>
      </c>
      <c r="F959" s="71">
        <v>0.75</v>
      </c>
      <c r="G959" s="88">
        <v>8.24</v>
      </c>
      <c r="H959" s="51">
        <f t="shared" si="89"/>
        <v>6.18</v>
      </c>
    </row>
    <row r="960" spans="2:8" x14ac:dyDescent="0.25">
      <c r="B960" s="53" t="s">
        <v>702</v>
      </c>
      <c r="C960" s="47" t="s">
        <v>703</v>
      </c>
      <c r="D960" s="69" t="s">
        <v>138</v>
      </c>
      <c r="E960" s="49" t="s">
        <v>272</v>
      </c>
      <c r="F960" s="71">
        <v>3.9249999999999998</v>
      </c>
      <c r="G960" s="88">
        <v>4.8600000000000003</v>
      </c>
      <c r="H960" s="51">
        <f t="shared" si="89"/>
        <v>19.075500000000002</v>
      </c>
    </row>
    <row r="961" spans="2:8" x14ac:dyDescent="0.25">
      <c r="B961" s="53"/>
      <c r="C961" s="43" t="s">
        <v>155</v>
      </c>
      <c r="D961" s="61" t="s">
        <v>156</v>
      </c>
      <c r="E961" s="38" t="s">
        <v>139</v>
      </c>
      <c r="F961" s="121">
        <v>1.3</v>
      </c>
      <c r="G961" s="51"/>
      <c r="H961" s="63">
        <f>(SUM(H958:H960))*(1+F961)</f>
        <v>81.209090000000003</v>
      </c>
    </row>
    <row r="962" spans="2:8" x14ac:dyDescent="0.25">
      <c r="B962" s="79" t="s">
        <v>918</v>
      </c>
      <c r="C962" s="47" t="s">
        <v>919</v>
      </c>
      <c r="D962" s="69" t="s">
        <v>143</v>
      </c>
      <c r="E962" s="49" t="s">
        <v>159</v>
      </c>
      <c r="F962" s="71">
        <v>2.25</v>
      </c>
      <c r="G962" s="88">
        <v>3.6</v>
      </c>
      <c r="H962" s="51">
        <f t="shared" si="89"/>
        <v>8.1</v>
      </c>
    </row>
    <row r="963" spans="2:8" x14ac:dyDescent="0.25">
      <c r="B963" s="53" t="s">
        <v>767</v>
      </c>
      <c r="C963" s="47" t="s">
        <v>768</v>
      </c>
      <c r="D963" s="69" t="s">
        <v>135</v>
      </c>
      <c r="E963" s="49" t="s">
        <v>159</v>
      </c>
      <c r="F963" s="71">
        <v>1.1999999999999999E-3</v>
      </c>
      <c r="G963" s="88">
        <v>73</v>
      </c>
      <c r="H963" s="51">
        <f t="shared" si="89"/>
        <v>8.7599999999999997E-2</v>
      </c>
    </row>
    <row r="964" spans="2:8" x14ac:dyDescent="0.25">
      <c r="B964" s="79" t="s">
        <v>920</v>
      </c>
      <c r="C964" s="47" t="s">
        <v>921</v>
      </c>
      <c r="D964" s="69" t="s">
        <v>168</v>
      </c>
      <c r="E964" s="49" t="s">
        <v>159</v>
      </c>
      <c r="F964" s="71">
        <v>0.185</v>
      </c>
      <c r="G964" s="88">
        <v>0.83</v>
      </c>
      <c r="H964" s="51">
        <f t="shared" si="89"/>
        <v>0.15354999999999999</v>
      </c>
    </row>
    <row r="965" spans="2:8" x14ac:dyDescent="0.25">
      <c r="B965" s="53" t="s">
        <v>922</v>
      </c>
      <c r="C965" s="47" t="s">
        <v>923</v>
      </c>
      <c r="D965" s="69" t="s">
        <v>168</v>
      </c>
      <c r="E965" s="49" t="s">
        <v>159</v>
      </c>
      <c r="F965" s="71">
        <v>0.15</v>
      </c>
      <c r="G965" s="88">
        <v>3.15</v>
      </c>
      <c r="H965" s="51">
        <f t="shared" si="89"/>
        <v>0.47249999999999998</v>
      </c>
    </row>
    <row r="966" spans="2:8" x14ac:dyDescent="0.25">
      <c r="B966" s="79" t="s">
        <v>924</v>
      </c>
      <c r="C966" s="47" t="s">
        <v>925</v>
      </c>
      <c r="D966" s="69" t="s">
        <v>143</v>
      </c>
      <c r="E966" s="49" t="s">
        <v>159</v>
      </c>
      <c r="F966" s="71">
        <v>7</v>
      </c>
      <c r="G966" s="88">
        <v>6.71</v>
      </c>
      <c r="H966" s="51">
        <f t="shared" si="89"/>
        <v>46.97</v>
      </c>
    </row>
    <row r="967" spans="2:8" x14ac:dyDescent="0.25">
      <c r="B967" s="52" t="s">
        <v>130</v>
      </c>
      <c r="C967" s="192" t="s">
        <v>321</v>
      </c>
      <c r="D967" s="192"/>
      <c r="E967" s="192"/>
      <c r="F967" s="192"/>
      <c r="G967" s="192"/>
      <c r="H967" s="192"/>
    </row>
    <row r="970" spans="2:8" ht="15.75" x14ac:dyDescent="0.25">
      <c r="B970" s="218" t="s">
        <v>557</v>
      </c>
      <c r="C970" s="214"/>
      <c r="D970" s="214"/>
      <c r="E970" s="214"/>
      <c r="F970" s="214"/>
      <c r="G970" s="214"/>
      <c r="H970" s="214"/>
    </row>
    <row r="971" spans="2:8" x14ac:dyDescent="0.25">
      <c r="B971" s="38" t="s">
        <v>121</v>
      </c>
      <c r="C971" s="39" t="s">
        <v>122</v>
      </c>
      <c r="D971" s="38" t="s">
        <v>123</v>
      </c>
      <c r="E971" s="38" t="s">
        <v>124</v>
      </c>
      <c r="F971" s="84" t="s">
        <v>125</v>
      </c>
      <c r="G971" s="40" t="s">
        <v>126</v>
      </c>
      <c r="H971" s="41" t="s">
        <v>127</v>
      </c>
    </row>
    <row r="972" spans="2:8" x14ac:dyDescent="0.25">
      <c r="B972" s="42" t="s">
        <v>1499</v>
      </c>
      <c r="C972" s="43" t="s">
        <v>1498</v>
      </c>
      <c r="D972" s="44" t="s">
        <v>123</v>
      </c>
      <c r="E972" s="38" t="s">
        <v>128</v>
      </c>
      <c r="F972" s="84"/>
      <c r="G972" s="40"/>
      <c r="H972" s="45">
        <f>SUM(H976:H981)</f>
        <v>72.44699</v>
      </c>
    </row>
    <row r="973" spans="2:8" x14ac:dyDescent="0.25">
      <c r="B973" s="53" t="s">
        <v>763</v>
      </c>
      <c r="C973" s="47" t="s">
        <v>764</v>
      </c>
      <c r="D973" s="69" t="s">
        <v>138</v>
      </c>
      <c r="E973" s="49" t="s">
        <v>272</v>
      </c>
      <c r="F973" s="71">
        <v>0.83499999999999996</v>
      </c>
      <c r="G973" s="88">
        <v>8.24</v>
      </c>
      <c r="H973" s="51">
        <f t="shared" ref="H973:H981" si="90">F973*G973</f>
        <v>6.8803999999999998</v>
      </c>
    </row>
    <row r="974" spans="2:8" x14ac:dyDescent="0.25">
      <c r="B974" s="79" t="s">
        <v>701</v>
      </c>
      <c r="C974" s="47" t="s">
        <v>735</v>
      </c>
      <c r="D974" s="69" t="s">
        <v>138</v>
      </c>
      <c r="E974" s="49" t="s">
        <v>272</v>
      </c>
      <c r="F974" s="71">
        <v>0.75</v>
      </c>
      <c r="G974" s="88">
        <v>8.24</v>
      </c>
      <c r="H974" s="51">
        <f t="shared" si="90"/>
        <v>6.18</v>
      </c>
    </row>
    <row r="975" spans="2:8" x14ac:dyDescent="0.25">
      <c r="B975" s="53" t="s">
        <v>702</v>
      </c>
      <c r="C975" s="47" t="s">
        <v>703</v>
      </c>
      <c r="D975" s="69" t="s">
        <v>138</v>
      </c>
      <c r="E975" s="49" t="s">
        <v>272</v>
      </c>
      <c r="F975" s="71">
        <v>2.1</v>
      </c>
      <c r="G975" s="88">
        <v>4.8600000000000003</v>
      </c>
      <c r="H975" s="51">
        <f t="shared" si="90"/>
        <v>10.206000000000001</v>
      </c>
    </row>
    <row r="976" spans="2:8" x14ac:dyDescent="0.25">
      <c r="B976" s="53"/>
      <c r="C976" s="43" t="s">
        <v>155</v>
      </c>
      <c r="D976" s="61" t="s">
        <v>156</v>
      </c>
      <c r="E976" s="38" t="s">
        <v>139</v>
      </c>
      <c r="F976" s="121">
        <v>1.3</v>
      </c>
      <c r="G976" s="51"/>
      <c r="H976" s="63">
        <f>(SUM(H973:H975))*(1+F976)</f>
        <v>53.512719999999995</v>
      </c>
    </row>
    <row r="977" spans="2:8" x14ac:dyDescent="0.25">
      <c r="B977" s="53" t="s">
        <v>892</v>
      </c>
      <c r="C977" s="47" t="s">
        <v>893</v>
      </c>
      <c r="D977" s="69" t="s">
        <v>168</v>
      </c>
      <c r="E977" s="49" t="s">
        <v>159</v>
      </c>
      <c r="F977" s="128">
        <v>9.4999999999999998E-3</v>
      </c>
      <c r="G977" s="88">
        <v>50.04</v>
      </c>
      <c r="H977" s="51">
        <f t="shared" si="90"/>
        <v>0.47537999999999997</v>
      </c>
    </row>
    <row r="978" spans="2:8" x14ac:dyDescent="0.25">
      <c r="B978" s="53" t="s">
        <v>896</v>
      </c>
      <c r="C978" s="47" t="s">
        <v>897</v>
      </c>
      <c r="D978" s="69" t="s">
        <v>173</v>
      </c>
      <c r="E978" s="49" t="s">
        <v>159</v>
      </c>
      <c r="F978" s="71">
        <v>2.3E-2</v>
      </c>
      <c r="G978" s="93">
        <v>16.93</v>
      </c>
      <c r="H978" s="51">
        <f t="shared" si="90"/>
        <v>0.38939000000000001</v>
      </c>
    </row>
    <row r="979" spans="2:8" x14ac:dyDescent="0.25">
      <c r="B979" s="79" t="s">
        <v>908</v>
      </c>
      <c r="C979" s="47" t="s">
        <v>909</v>
      </c>
      <c r="D979" s="69" t="s">
        <v>168</v>
      </c>
      <c r="E979" s="49" t="s">
        <v>159</v>
      </c>
      <c r="F979" s="71">
        <v>0.05</v>
      </c>
      <c r="G979" s="88">
        <v>12.31</v>
      </c>
      <c r="H979" s="51">
        <f t="shared" si="90"/>
        <v>0.61550000000000005</v>
      </c>
    </row>
    <row r="980" spans="2:8" x14ac:dyDescent="0.25">
      <c r="B980" s="53" t="s">
        <v>898</v>
      </c>
      <c r="C980" s="47" t="s">
        <v>899</v>
      </c>
      <c r="D980" s="69" t="s">
        <v>123</v>
      </c>
      <c r="E980" s="49" t="s">
        <v>159</v>
      </c>
      <c r="F980" s="71">
        <v>0.2</v>
      </c>
      <c r="G980" s="88">
        <v>0.47</v>
      </c>
      <c r="H980" s="51">
        <f t="shared" si="90"/>
        <v>9.4E-2</v>
      </c>
    </row>
    <row r="981" spans="2:8" x14ac:dyDescent="0.25">
      <c r="B981" s="79" t="s">
        <v>1501</v>
      </c>
      <c r="C981" s="47" t="s">
        <v>1500</v>
      </c>
      <c r="D981" s="69" t="s">
        <v>143</v>
      </c>
      <c r="E981" s="49" t="s">
        <v>159</v>
      </c>
      <c r="F981" s="71">
        <v>7</v>
      </c>
      <c r="G981" s="88">
        <v>2.48</v>
      </c>
      <c r="H981" s="51">
        <f t="shared" si="90"/>
        <v>17.36</v>
      </c>
    </row>
    <row r="982" spans="2:8" x14ac:dyDescent="0.25">
      <c r="B982" s="52" t="s">
        <v>130</v>
      </c>
      <c r="C982" s="192" t="s">
        <v>131</v>
      </c>
      <c r="D982" s="192"/>
      <c r="E982" s="192"/>
      <c r="F982" s="192"/>
      <c r="G982" s="192"/>
      <c r="H982" s="192"/>
    </row>
    <row r="985" spans="2:8" ht="15.75" x14ac:dyDescent="0.25">
      <c r="B985" s="218" t="s">
        <v>567</v>
      </c>
      <c r="C985" s="214"/>
      <c r="D985" s="214"/>
      <c r="E985" s="214"/>
      <c r="F985" s="214"/>
      <c r="G985" s="214"/>
      <c r="H985" s="214"/>
    </row>
    <row r="986" spans="2:8" x14ac:dyDescent="0.25">
      <c r="B986" s="38" t="s">
        <v>121</v>
      </c>
      <c r="C986" s="39" t="s">
        <v>122</v>
      </c>
      <c r="D986" s="38" t="s">
        <v>123</v>
      </c>
      <c r="E986" s="38" t="s">
        <v>124</v>
      </c>
      <c r="F986" s="84" t="s">
        <v>125</v>
      </c>
      <c r="G986" s="40" t="s">
        <v>126</v>
      </c>
      <c r="H986" s="41" t="s">
        <v>127</v>
      </c>
    </row>
    <row r="987" spans="2:8" x14ac:dyDescent="0.25">
      <c r="B987" s="42" t="s">
        <v>927</v>
      </c>
      <c r="C987" s="43" t="s">
        <v>928</v>
      </c>
      <c r="D987" s="44" t="s">
        <v>123</v>
      </c>
      <c r="E987" s="38" t="s">
        <v>128</v>
      </c>
      <c r="F987" s="84"/>
      <c r="G987" s="40"/>
      <c r="H987" s="45">
        <f>SUM(H990:H992)</f>
        <v>150.33950000000002</v>
      </c>
    </row>
    <row r="988" spans="2:8" x14ac:dyDescent="0.25">
      <c r="B988" s="53" t="s">
        <v>763</v>
      </c>
      <c r="C988" s="47" t="s">
        <v>764</v>
      </c>
      <c r="D988" s="69" t="s">
        <v>138</v>
      </c>
      <c r="E988" s="49" t="s">
        <v>272</v>
      </c>
      <c r="F988" s="71">
        <v>0.5</v>
      </c>
      <c r="G988" s="88">
        <v>8.24</v>
      </c>
      <c r="H988" s="51">
        <f t="shared" ref="H988:H992" si="91">F988*G988</f>
        <v>4.12</v>
      </c>
    </row>
    <row r="989" spans="2:8" x14ac:dyDescent="0.25">
      <c r="B989" s="53" t="s">
        <v>702</v>
      </c>
      <c r="C989" s="47" t="s">
        <v>703</v>
      </c>
      <c r="D989" s="69" t="s">
        <v>138</v>
      </c>
      <c r="E989" s="49" t="s">
        <v>272</v>
      </c>
      <c r="F989" s="71">
        <v>0.75</v>
      </c>
      <c r="G989" s="88">
        <v>4.8600000000000003</v>
      </c>
      <c r="H989" s="51">
        <f t="shared" si="91"/>
        <v>3.6450000000000005</v>
      </c>
    </row>
    <row r="990" spans="2:8" x14ac:dyDescent="0.25">
      <c r="B990" s="53"/>
      <c r="C990" s="43" t="s">
        <v>155</v>
      </c>
      <c r="D990" s="61" t="s">
        <v>156</v>
      </c>
      <c r="E990" s="38" t="s">
        <v>139</v>
      </c>
      <c r="F990" s="121">
        <v>1.3</v>
      </c>
      <c r="G990" s="51"/>
      <c r="H990" s="63">
        <f>(SUM(H988:H989))*(1+F990)</f>
        <v>17.859500000000001</v>
      </c>
    </row>
    <row r="991" spans="2:8" x14ac:dyDescent="0.25">
      <c r="B991" s="53" t="s">
        <v>929</v>
      </c>
      <c r="C991" s="47" t="s">
        <v>930</v>
      </c>
      <c r="D991" s="69" t="s">
        <v>123</v>
      </c>
      <c r="E991" s="49" t="s">
        <v>159</v>
      </c>
      <c r="F991" s="71">
        <v>1</v>
      </c>
      <c r="G991" s="88">
        <v>118.08</v>
      </c>
      <c r="H991" s="51">
        <f t="shared" si="91"/>
        <v>118.08</v>
      </c>
    </row>
    <row r="992" spans="2:8" x14ac:dyDescent="0.25">
      <c r="B992" s="79" t="s">
        <v>931</v>
      </c>
      <c r="C992" s="47" t="s">
        <v>932</v>
      </c>
      <c r="D992" s="69" t="s">
        <v>143</v>
      </c>
      <c r="E992" s="49" t="s">
        <v>159</v>
      </c>
      <c r="F992" s="71">
        <v>4</v>
      </c>
      <c r="G992" s="88">
        <v>3.6</v>
      </c>
      <c r="H992" s="51">
        <f t="shared" si="91"/>
        <v>14.4</v>
      </c>
    </row>
    <row r="993" spans="2:8" x14ac:dyDescent="0.25">
      <c r="B993" s="52" t="s">
        <v>130</v>
      </c>
      <c r="C993" s="192" t="s">
        <v>321</v>
      </c>
      <c r="D993" s="192"/>
      <c r="E993" s="192"/>
      <c r="F993" s="192"/>
      <c r="G993" s="192"/>
      <c r="H993" s="192"/>
    </row>
    <row r="996" spans="2:8" ht="15.75" x14ac:dyDescent="0.25">
      <c r="B996" s="218" t="s">
        <v>568</v>
      </c>
      <c r="C996" s="214"/>
      <c r="D996" s="214"/>
      <c r="E996" s="214"/>
      <c r="F996" s="214"/>
      <c r="G996" s="214"/>
      <c r="H996" s="214"/>
    </row>
    <row r="997" spans="2:8" x14ac:dyDescent="0.25">
      <c r="B997" s="38" t="s">
        <v>121</v>
      </c>
      <c r="C997" s="39" t="s">
        <v>122</v>
      </c>
      <c r="D997" s="38" t="s">
        <v>123</v>
      </c>
      <c r="E997" s="38" t="s">
        <v>124</v>
      </c>
      <c r="F997" s="84" t="s">
        <v>125</v>
      </c>
      <c r="G997" s="40" t="s">
        <v>126</v>
      </c>
      <c r="H997" s="41" t="s">
        <v>127</v>
      </c>
    </row>
    <row r="998" spans="2:8" x14ac:dyDescent="0.25">
      <c r="B998" s="42" t="s">
        <v>1739</v>
      </c>
      <c r="C998" s="43" t="s">
        <v>570</v>
      </c>
      <c r="D998" s="44" t="s">
        <v>123</v>
      </c>
      <c r="E998" s="38" t="s">
        <v>128</v>
      </c>
      <c r="F998" s="84"/>
      <c r="G998" s="40"/>
      <c r="H998" s="45">
        <f>SUM(H1001:H1005)</f>
        <v>134.79850000000002</v>
      </c>
    </row>
    <row r="999" spans="2:8" x14ac:dyDescent="0.25">
      <c r="B999" s="53" t="s">
        <v>571</v>
      </c>
      <c r="C999" s="47" t="s">
        <v>572</v>
      </c>
      <c r="D999" s="69" t="s">
        <v>138</v>
      </c>
      <c r="E999" s="49" t="s">
        <v>272</v>
      </c>
      <c r="F999" s="71">
        <v>3.5</v>
      </c>
      <c r="G999" s="88">
        <v>5.13</v>
      </c>
      <c r="H999" s="51">
        <f t="shared" ref="H999:H1005" si="92">F999*G999</f>
        <v>17.954999999999998</v>
      </c>
    </row>
    <row r="1000" spans="2:8" x14ac:dyDescent="0.25">
      <c r="B1000" s="53" t="s">
        <v>573</v>
      </c>
      <c r="C1000" s="47" t="s">
        <v>513</v>
      </c>
      <c r="D1000" s="69" t="s">
        <v>138</v>
      </c>
      <c r="E1000" s="49" t="s">
        <v>272</v>
      </c>
      <c r="F1000" s="71">
        <v>3.5</v>
      </c>
      <c r="G1000" s="88">
        <v>8.24</v>
      </c>
      <c r="H1000" s="51">
        <f t="shared" si="92"/>
        <v>28.84</v>
      </c>
    </row>
    <row r="1001" spans="2:8" x14ac:dyDescent="0.25">
      <c r="B1001" s="53"/>
      <c r="C1001" s="43" t="s">
        <v>155</v>
      </c>
      <c r="D1001" s="61" t="s">
        <v>156</v>
      </c>
      <c r="E1001" s="38" t="s">
        <v>139</v>
      </c>
      <c r="F1001" s="121">
        <v>1.3</v>
      </c>
      <c r="G1001" s="51"/>
      <c r="H1001" s="63">
        <f>(SUM(H999:H1000))*(1+F1001)</f>
        <v>107.6285</v>
      </c>
    </row>
    <row r="1002" spans="2:8" x14ac:dyDescent="0.25">
      <c r="B1002" s="79" t="s">
        <v>576</v>
      </c>
      <c r="C1002" s="47" t="s">
        <v>577</v>
      </c>
      <c r="D1002" s="69" t="s">
        <v>143</v>
      </c>
      <c r="E1002" s="49" t="s">
        <v>159</v>
      </c>
      <c r="F1002" s="71">
        <v>6</v>
      </c>
      <c r="G1002" s="88">
        <v>2.4700000000000002</v>
      </c>
      <c r="H1002" s="51">
        <f t="shared" si="92"/>
        <v>14.82</v>
      </c>
    </row>
    <row r="1003" spans="2:8" ht="30" x14ac:dyDescent="0.25">
      <c r="B1003" s="53" t="s">
        <v>580</v>
      </c>
      <c r="C1003" s="47" t="s">
        <v>581</v>
      </c>
      <c r="D1003" s="69" t="s">
        <v>123</v>
      </c>
      <c r="E1003" s="49" t="s">
        <v>159</v>
      </c>
      <c r="F1003" s="71">
        <v>1</v>
      </c>
      <c r="G1003" s="88">
        <v>0.83</v>
      </c>
      <c r="H1003" s="51">
        <f t="shared" si="92"/>
        <v>0.83</v>
      </c>
    </row>
    <row r="1004" spans="2:8" x14ac:dyDescent="0.25">
      <c r="B1004" s="53" t="s">
        <v>582</v>
      </c>
      <c r="C1004" s="47" t="s">
        <v>583</v>
      </c>
      <c r="D1004" s="69" t="s">
        <v>123</v>
      </c>
      <c r="E1004" s="49" t="s">
        <v>159</v>
      </c>
      <c r="F1004" s="71">
        <v>1</v>
      </c>
      <c r="G1004" s="88">
        <v>6</v>
      </c>
      <c r="H1004" s="51">
        <f t="shared" si="92"/>
        <v>6</v>
      </c>
    </row>
    <row r="1005" spans="2:8" x14ac:dyDescent="0.25">
      <c r="B1005" s="53" t="s">
        <v>933</v>
      </c>
      <c r="C1005" s="47" t="s">
        <v>584</v>
      </c>
      <c r="D1005" s="69" t="s">
        <v>143</v>
      </c>
      <c r="E1005" s="49" t="s">
        <v>159</v>
      </c>
      <c r="F1005" s="71">
        <v>12</v>
      </c>
      <c r="G1005" s="88">
        <v>0.46</v>
      </c>
      <c r="H1005" s="51">
        <f t="shared" si="92"/>
        <v>5.5200000000000005</v>
      </c>
    </row>
    <row r="1006" spans="2:8" x14ac:dyDescent="0.25">
      <c r="B1006" s="52" t="s">
        <v>130</v>
      </c>
      <c r="C1006" s="192" t="s">
        <v>1740</v>
      </c>
      <c r="D1006" s="192"/>
      <c r="E1006" s="192"/>
      <c r="F1006" s="192"/>
      <c r="G1006" s="192"/>
      <c r="H1006" s="192"/>
    </row>
    <row r="1009" spans="2:8" ht="15.75" x14ac:dyDescent="0.25">
      <c r="B1009" s="218" t="s">
        <v>586</v>
      </c>
      <c r="C1009" s="214"/>
      <c r="D1009" s="214"/>
      <c r="E1009" s="214"/>
      <c r="F1009" s="214"/>
      <c r="G1009" s="214"/>
      <c r="H1009" s="214"/>
    </row>
    <row r="1010" spans="2:8" x14ac:dyDescent="0.25">
      <c r="B1010" s="38" t="s">
        <v>121</v>
      </c>
      <c r="C1010" s="39" t="s">
        <v>122</v>
      </c>
      <c r="D1010" s="38" t="s">
        <v>123</v>
      </c>
      <c r="E1010" s="38" t="s">
        <v>124</v>
      </c>
      <c r="F1010" s="84" t="s">
        <v>125</v>
      </c>
      <c r="G1010" s="40" t="s">
        <v>126</v>
      </c>
      <c r="H1010" s="41" t="s">
        <v>127</v>
      </c>
    </row>
    <row r="1011" spans="2:8" x14ac:dyDescent="0.25">
      <c r="B1011" s="42" t="s">
        <v>1741</v>
      </c>
      <c r="C1011" s="43" t="s">
        <v>934</v>
      </c>
      <c r="D1011" s="44" t="s">
        <v>123</v>
      </c>
      <c r="E1011" s="38" t="s">
        <v>128</v>
      </c>
      <c r="F1011" s="84"/>
      <c r="G1011" s="40"/>
      <c r="H1011" s="45">
        <f>SUM(H1014:H1018)</f>
        <v>103.09949999999999</v>
      </c>
    </row>
    <row r="1012" spans="2:8" x14ac:dyDescent="0.25">
      <c r="B1012" s="53" t="s">
        <v>800</v>
      </c>
      <c r="C1012" s="47" t="s">
        <v>832</v>
      </c>
      <c r="D1012" s="69" t="s">
        <v>138</v>
      </c>
      <c r="E1012" s="49" t="s">
        <v>272</v>
      </c>
      <c r="F1012" s="71">
        <v>2.5</v>
      </c>
      <c r="G1012" s="88">
        <v>8.24</v>
      </c>
      <c r="H1012" s="51">
        <f t="shared" ref="H1012:H1018" si="93">F1012*G1012</f>
        <v>20.6</v>
      </c>
    </row>
    <row r="1013" spans="2:8" x14ac:dyDescent="0.25">
      <c r="B1013" s="53" t="s">
        <v>702</v>
      </c>
      <c r="C1013" s="47" t="s">
        <v>703</v>
      </c>
      <c r="D1013" s="69" t="s">
        <v>138</v>
      </c>
      <c r="E1013" s="49" t="s">
        <v>272</v>
      </c>
      <c r="F1013" s="71">
        <v>2.5</v>
      </c>
      <c r="G1013">
        <v>4.8600000000000003</v>
      </c>
      <c r="H1013" s="51">
        <f>F1013*G1011</f>
        <v>0</v>
      </c>
    </row>
    <row r="1014" spans="2:8" x14ac:dyDescent="0.25">
      <c r="B1014" s="53"/>
      <c r="C1014" s="43" t="s">
        <v>155</v>
      </c>
      <c r="D1014" s="61" t="s">
        <v>156</v>
      </c>
      <c r="E1014" s="38" t="s">
        <v>139</v>
      </c>
      <c r="F1014" s="121">
        <v>1.3</v>
      </c>
      <c r="G1014" s="51"/>
      <c r="H1014" s="63">
        <f>(SUM(H1012:H1013))*(1+F1014)</f>
        <v>47.38</v>
      </c>
    </row>
    <row r="1015" spans="2:8" x14ac:dyDescent="0.25">
      <c r="B1015" s="79" t="s">
        <v>935</v>
      </c>
      <c r="C1015" s="47" t="s">
        <v>936</v>
      </c>
      <c r="D1015" s="69" t="s">
        <v>123</v>
      </c>
      <c r="E1015" s="49" t="s">
        <v>159</v>
      </c>
      <c r="F1015" s="71">
        <v>1</v>
      </c>
      <c r="G1015" s="88">
        <v>27</v>
      </c>
      <c r="H1015" s="51">
        <f t="shared" si="93"/>
        <v>27</v>
      </c>
    </row>
    <row r="1016" spans="2:8" x14ac:dyDescent="0.25">
      <c r="B1016" s="53" t="s">
        <v>684</v>
      </c>
      <c r="C1016" s="47" t="s">
        <v>685</v>
      </c>
      <c r="D1016" s="69" t="s">
        <v>168</v>
      </c>
      <c r="E1016" s="49" t="s">
        <v>159</v>
      </c>
      <c r="F1016" s="71">
        <v>0.01</v>
      </c>
      <c r="G1016" s="88">
        <v>12.95</v>
      </c>
      <c r="H1016" s="51">
        <f t="shared" si="93"/>
        <v>0.1295</v>
      </c>
    </row>
    <row r="1017" spans="2:8" x14ac:dyDescent="0.25">
      <c r="B1017" s="53" t="s">
        <v>937</v>
      </c>
      <c r="C1017" s="47" t="s">
        <v>938</v>
      </c>
      <c r="D1017" s="69" t="s">
        <v>143</v>
      </c>
      <c r="E1017" s="49" t="s">
        <v>159</v>
      </c>
      <c r="F1017" s="71">
        <v>10</v>
      </c>
      <c r="G1017" s="88">
        <v>2.71</v>
      </c>
      <c r="H1017" s="51">
        <f t="shared" si="93"/>
        <v>27.1</v>
      </c>
    </row>
    <row r="1018" spans="2:8" x14ac:dyDescent="0.25">
      <c r="B1018" s="79" t="s">
        <v>848</v>
      </c>
      <c r="C1018" s="47" t="s">
        <v>850</v>
      </c>
      <c r="D1018" s="69" t="s">
        <v>123</v>
      </c>
      <c r="E1018" s="49" t="s">
        <v>159</v>
      </c>
      <c r="F1018" s="71">
        <v>1</v>
      </c>
      <c r="G1018" s="88">
        <v>1.49</v>
      </c>
      <c r="H1018" s="51">
        <f t="shared" si="93"/>
        <v>1.49</v>
      </c>
    </row>
    <row r="1019" spans="2:8" x14ac:dyDescent="0.25">
      <c r="B1019" s="52" t="s">
        <v>130</v>
      </c>
      <c r="C1019" s="195" t="s">
        <v>321</v>
      </c>
      <c r="D1019" s="196"/>
      <c r="E1019" s="196"/>
      <c r="F1019" s="196"/>
      <c r="G1019" s="196"/>
      <c r="H1019" s="197"/>
    </row>
    <row r="1022" spans="2:8" ht="15.75" x14ac:dyDescent="0.25">
      <c r="B1022" s="218" t="s">
        <v>587</v>
      </c>
      <c r="C1022" s="214"/>
      <c r="D1022" s="214"/>
      <c r="E1022" s="214"/>
      <c r="F1022" s="214"/>
      <c r="G1022" s="214"/>
      <c r="H1022" s="214"/>
    </row>
    <row r="1023" spans="2:8" x14ac:dyDescent="0.25">
      <c r="B1023" s="38" t="s">
        <v>121</v>
      </c>
      <c r="C1023" s="39" t="s">
        <v>122</v>
      </c>
      <c r="D1023" s="38" t="s">
        <v>123</v>
      </c>
      <c r="E1023" s="38" t="s">
        <v>124</v>
      </c>
      <c r="F1023" s="84" t="s">
        <v>125</v>
      </c>
      <c r="G1023" s="40" t="s">
        <v>126</v>
      </c>
      <c r="H1023" s="41" t="s">
        <v>127</v>
      </c>
    </row>
    <row r="1024" spans="2:8" ht="30" x14ac:dyDescent="0.25">
      <c r="B1024" s="42" t="s">
        <v>939</v>
      </c>
      <c r="C1024" s="43" t="s">
        <v>940</v>
      </c>
      <c r="D1024" s="44" t="s">
        <v>123</v>
      </c>
      <c r="E1024" s="38" t="s">
        <v>128</v>
      </c>
      <c r="F1024" s="84"/>
      <c r="G1024" s="40"/>
      <c r="H1024" s="45">
        <f>SUM(H1027:H1030)</f>
        <v>146.86449999999999</v>
      </c>
    </row>
    <row r="1025" spans="2:8" x14ac:dyDescent="0.25">
      <c r="B1025" s="53" t="s">
        <v>800</v>
      </c>
      <c r="C1025" s="47" t="s">
        <v>513</v>
      </c>
      <c r="D1025" s="69" t="s">
        <v>138</v>
      </c>
      <c r="E1025" s="49" t="s">
        <v>272</v>
      </c>
      <c r="F1025" s="71">
        <v>3.5</v>
      </c>
      <c r="G1025" s="88">
        <v>8.24</v>
      </c>
      <c r="H1025" s="51">
        <f t="shared" ref="H1025:H1030" si="94">F1025*G1025</f>
        <v>28.84</v>
      </c>
    </row>
    <row r="1026" spans="2:8" x14ac:dyDescent="0.25">
      <c r="B1026" s="53" t="s">
        <v>702</v>
      </c>
      <c r="C1026" s="47" t="s">
        <v>703</v>
      </c>
      <c r="D1026" s="69" t="s">
        <v>138</v>
      </c>
      <c r="E1026" s="49" t="s">
        <v>272</v>
      </c>
      <c r="F1026" s="71">
        <v>3.5</v>
      </c>
      <c r="G1026">
        <v>4.8600000000000003</v>
      </c>
      <c r="H1026" s="51">
        <f t="shared" si="94"/>
        <v>17.010000000000002</v>
      </c>
    </row>
    <row r="1027" spans="2:8" x14ac:dyDescent="0.25">
      <c r="B1027" s="53"/>
      <c r="C1027" s="43" t="s">
        <v>155</v>
      </c>
      <c r="D1027" s="61" t="s">
        <v>156</v>
      </c>
      <c r="E1027" s="38" t="s">
        <v>139</v>
      </c>
      <c r="F1027" s="121">
        <v>1.3</v>
      </c>
      <c r="G1027" s="51"/>
      <c r="H1027" s="63">
        <f>(SUM(H1025:H1026))*(1+F1027)</f>
        <v>105.455</v>
      </c>
    </row>
    <row r="1028" spans="2:8" x14ac:dyDescent="0.25">
      <c r="B1028" s="53" t="s">
        <v>684</v>
      </c>
      <c r="C1028" s="47" t="s">
        <v>685</v>
      </c>
      <c r="D1028" s="69" t="s">
        <v>168</v>
      </c>
      <c r="E1028" s="49" t="s">
        <v>159</v>
      </c>
      <c r="F1028" s="71">
        <v>0.01</v>
      </c>
      <c r="G1028" s="88">
        <v>12.95</v>
      </c>
      <c r="H1028" s="51">
        <f t="shared" si="94"/>
        <v>0.1295</v>
      </c>
    </row>
    <row r="1029" spans="2:8" x14ac:dyDescent="0.25">
      <c r="B1029" s="53" t="s">
        <v>941</v>
      </c>
      <c r="C1029" s="47" t="s">
        <v>942</v>
      </c>
      <c r="D1029" s="69" t="s">
        <v>123</v>
      </c>
      <c r="E1029" s="49" t="s">
        <v>159</v>
      </c>
      <c r="F1029" s="71">
        <v>1</v>
      </c>
      <c r="G1029" s="88">
        <v>0.96</v>
      </c>
      <c r="H1029" s="51">
        <f t="shared" si="94"/>
        <v>0.96</v>
      </c>
    </row>
    <row r="1030" spans="2:8" x14ac:dyDescent="0.25">
      <c r="B1030" s="79" t="s">
        <v>847</v>
      </c>
      <c r="C1030" s="47" t="s">
        <v>849</v>
      </c>
      <c r="D1030" s="69" t="s">
        <v>143</v>
      </c>
      <c r="E1030" s="49" t="s">
        <v>159</v>
      </c>
      <c r="F1030" s="71">
        <v>6</v>
      </c>
      <c r="G1030" s="88">
        <v>6.72</v>
      </c>
      <c r="H1030" s="51">
        <f t="shared" si="94"/>
        <v>40.32</v>
      </c>
    </row>
    <row r="1031" spans="2:8" x14ac:dyDescent="0.25">
      <c r="B1031" s="52" t="s">
        <v>130</v>
      </c>
      <c r="C1031" s="195" t="s">
        <v>321</v>
      </c>
      <c r="D1031" s="196"/>
      <c r="E1031" s="196"/>
      <c r="F1031" s="196"/>
      <c r="G1031" s="196"/>
      <c r="H1031" s="197"/>
    </row>
    <row r="1034" spans="2:8" ht="15.75" x14ac:dyDescent="0.25">
      <c r="B1034" s="218" t="s">
        <v>588</v>
      </c>
      <c r="C1034" s="214"/>
      <c r="D1034" s="214"/>
      <c r="E1034" s="214"/>
      <c r="F1034" s="214"/>
      <c r="G1034" s="214"/>
      <c r="H1034" s="214"/>
    </row>
    <row r="1035" spans="2:8" x14ac:dyDescent="0.25">
      <c r="B1035" s="38" t="s">
        <v>121</v>
      </c>
      <c r="C1035" s="39" t="s">
        <v>122</v>
      </c>
      <c r="D1035" s="38" t="s">
        <v>123</v>
      </c>
      <c r="E1035" s="38" t="s">
        <v>124</v>
      </c>
      <c r="F1035" s="84" t="s">
        <v>125</v>
      </c>
      <c r="G1035" s="40" t="s">
        <v>126</v>
      </c>
      <c r="H1035" s="41" t="s">
        <v>127</v>
      </c>
    </row>
    <row r="1036" spans="2:8" x14ac:dyDescent="0.25">
      <c r="B1036" s="42" t="s">
        <v>943</v>
      </c>
      <c r="C1036" s="43" t="s">
        <v>944</v>
      </c>
      <c r="D1036" s="44" t="s">
        <v>123</v>
      </c>
      <c r="E1036" s="38" t="s">
        <v>128</v>
      </c>
      <c r="F1036" s="84"/>
      <c r="G1036" s="40"/>
      <c r="H1036" s="45">
        <f>SUM(H1039:H1040)</f>
        <v>253.941</v>
      </c>
    </row>
    <row r="1037" spans="2:8" x14ac:dyDescent="0.25">
      <c r="B1037" s="53" t="s">
        <v>867</v>
      </c>
      <c r="C1037" s="47" t="s">
        <v>986</v>
      </c>
      <c r="D1037" s="69" t="s">
        <v>138</v>
      </c>
      <c r="E1037" s="49" t="s">
        <v>272</v>
      </c>
      <c r="F1037" s="73">
        <v>1</v>
      </c>
      <c r="G1037" s="88">
        <v>8.24</v>
      </c>
      <c r="H1037" s="51">
        <f t="shared" ref="H1037:H1040" si="95">F1037*G1037</f>
        <v>8.24</v>
      </c>
    </row>
    <row r="1038" spans="2:8" x14ac:dyDescent="0.25">
      <c r="B1038" s="53" t="s">
        <v>656</v>
      </c>
      <c r="C1038" s="47" t="s">
        <v>226</v>
      </c>
      <c r="D1038" s="69" t="s">
        <v>138</v>
      </c>
      <c r="E1038" s="49" t="s">
        <v>272</v>
      </c>
      <c r="F1038" s="73">
        <v>0.5</v>
      </c>
      <c r="G1038" s="88">
        <v>4.8600000000000003</v>
      </c>
      <c r="H1038" s="51">
        <f t="shared" si="95"/>
        <v>2.4300000000000002</v>
      </c>
    </row>
    <row r="1039" spans="2:8" x14ac:dyDescent="0.25">
      <c r="B1039" s="53"/>
      <c r="C1039" s="43" t="s">
        <v>155</v>
      </c>
      <c r="D1039" s="61" t="s">
        <v>156</v>
      </c>
      <c r="E1039" s="38" t="s">
        <v>139</v>
      </c>
      <c r="F1039" s="121">
        <v>1.3</v>
      </c>
      <c r="G1039" s="51"/>
      <c r="H1039" s="63">
        <f>(SUM(H1037:H1038))*(1+F1039)</f>
        <v>24.540999999999997</v>
      </c>
    </row>
    <row r="1040" spans="2:8" ht="45" x14ac:dyDescent="0.25">
      <c r="B1040" s="79" t="s">
        <v>945</v>
      </c>
      <c r="C1040" s="47" t="s">
        <v>946</v>
      </c>
      <c r="D1040" s="69" t="s">
        <v>123</v>
      </c>
      <c r="E1040" s="49" t="s">
        <v>159</v>
      </c>
      <c r="F1040" s="73">
        <v>1</v>
      </c>
      <c r="G1040" s="88">
        <v>229.4</v>
      </c>
      <c r="H1040" s="51">
        <f t="shared" si="95"/>
        <v>229.4</v>
      </c>
    </row>
    <row r="1041" spans="2:8" x14ac:dyDescent="0.25">
      <c r="B1041" s="52" t="s">
        <v>130</v>
      </c>
      <c r="C1041" s="195" t="s">
        <v>232</v>
      </c>
      <c r="D1041" s="196"/>
      <c r="E1041" s="196"/>
      <c r="F1041" s="196"/>
      <c r="G1041" s="196"/>
      <c r="H1041" s="197"/>
    </row>
    <row r="1044" spans="2:8" ht="15.75" x14ac:dyDescent="0.25">
      <c r="B1044" s="218" t="s">
        <v>589</v>
      </c>
      <c r="C1044" s="214"/>
      <c r="D1044" s="214"/>
      <c r="E1044" s="214"/>
      <c r="F1044" s="214"/>
      <c r="G1044" s="214"/>
      <c r="H1044" s="214"/>
    </row>
    <row r="1045" spans="2:8" x14ac:dyDescent="0.25">
      <c r="B1045" s="38" t="s">
        <v>121</v>
      </c>
      <c r="C1045" s="39" t="s">
        <v>122</v>
      </c>
      <c r="D1045" s="38" t="s">
        <v>123</v>
      </c>
      <c r="E1045" s="38" t="s">
        <v>124</v>
      </c>
      <c r="F1045" s="84" t="s">
        <v>125</v>
      </c>
      <c r="G1045" s="40" t="s">
        <v>126</v>
      </c>
      <c r="H1045" s="41" t="s">
        <v>127</v>
      </c>
    </row>
    <row r="1046" spans="2:8" ht="30" x14ac:dyDescent="0.25">
      <c r="B1046" s="42" t="s">
        <v>1504</v>
      </c>
      <c r="C1046" s="43" t="s">
        <v>1503</v>
      </c>
      <c r="D1046" s="44" t="s">
        <v>123</v>
      </c>
      <c r="E1046" s="38" t="s">
        <v>128</v>
      </c>
      <c r="F1046" s="84"/>
      <c r="G1046" s="40"/>
      <c r="H1046" s="45">
        <f>SUM(H1049:H1051)</f>
        <v>136.29900000000001</v>
      </c>
    </row>
    <row r="1047" spans="2:8" x14ac:dyDescent="0.25">
      <c r="B1047" s="53" t="s">
        <v>867</v>
      </c>
      <c r="C1047" s="47" t="s">
        <v>986</v>
      </c>
      <c r="D1047" s="44"/>
      <c r="E1047" s="38"/>
      <c r="F1047" s="84">
        <v>0.3</v>
      </c>
      <c r="G1047" s="40">
        <v>8.24</v>
      </c>
      <c r="H1047" s="51">
        <f t="shared" ref="H1047:H1051" si="96">F1047*G1047</f>
        <v>2.472</v>
      </c>
    </row>
    <row r="1048" spans="2:8" x14ac:dyDescent="0.25">
      <c r="B1048" s="53" t="s">
        <v>656</v>
      </c>
      <c r="C1048" s="47" t="s">
        <v>226</v>
      </c>
      <c r="D1048" s="69" t="s">
        <v>138</v>
      </c>
      <c r="E1048" s="49" t="s">
        <v>272</v>
      </c>
      <c r="F1048" s="71">
        <v>0.3</v>
      </c>
      <c r="G1048" s="88">
        <v>4.8600000000000003</v>
      </c>
      <c r="H1048" s="51">
        <f t="shared" si="96"/>
        <v>1.458</v>
      </c>
    </row>
    <row r="1049" spans="2:8" x14ac:dyDescent="0.25">
      <c r="B1049" s="53"/>
      <c r="C1049" s="43" t="s">
        <v>155</v>
      </c>
      <c r="D1049" s="61" t="s">
        <v>156</v>
      </c>
      <c r="E1049" s="38" t="s">
        <v>139</v>
      </c>
      <c r="F1049" s="121">
        <v>1.3</v>
      </c>
      <c r="G1049" s="51"/>
      <c r="H1049" s="63">
        <f>(SUM(H1047:H1048))*(1+F1049)</f>
        <v>9.0389999999999979</v>
      </c>
    </row>
    <row r="1050" spans="2:8" ht="30" x14ac:dyDescent="0.25">
      <c r="B1050" s="79" t="s">
        <v>1743</v>
      </c>
      <c r="C1050" s="47" t="s">
        <v>1742</v>
      </c>
      <c r="D1050" s="69" t="s">
        <v>123</v>
      </c>
      <c r="E1050" s="49" t="s">
        <v>159</v>
      </c>
      <c r="F1050" s="71">
        <v>1</v>
      </c>
      <c r="G1050" s="51">
        <v>0.34</v>
      </c>
      <c r="H1050" s="51">
        <f t="shared" si="96"/>
        <v>0.34</v>
      </c>
    </row>
    <row r="1051" spans="2:8" x14ac:dyDescent="0.25">
      <c r="B1051" s="79" t="s">
        <v>1506</v>
      </c>
      <c r="C1051" s="47" t="s">
        <v>1505</v>
      </c>
      <c r="D1051" s="69" t="s">
        <v>123</v>
      </c>
      <c r="E1051" s="49" t="s">
        <v>159</v>
      </c>
      <c r="F1051" s="71">
        <v>1</v>
      </c>
      <c r="G1051" s="88">
        <v>126.92</v>
      </c>
      <c r="H1051" s="51">
        <f t="shared" si="96"/>
        <v>126.92</v>
      </c>
    </row>
    <row r="1052" spans="2:8" x14ac:dyDescent="0.25">
      <c r="B1052" s="52" t="s">
        <v>130</v>
      </c>
      <c r="C1052" s="195" t="s">
        <v>321</v>
      </c>
      <c r="D1052" s="196"/>
      <c r="E1052" s="196"/>
      <c r="F1052" s="196"/>
      <c r="G1052" s="196"/>
      <c r="H1052" s="197"/>
    </row>
    <row r="1055" spans="2:8" ht="15.75" x14ac:dyDescent="0.25">
      <c r="B1055" s="229" t="s">
        <v>596</v>
      </c>
      <c r="C1055" s="219"/>
      <c r="D1055" s="219"/>
      <c r="E1055" s="219"/>
      <c r="F1055" s="219"/>
      <c r="G1055" s="219"/>
      <c r="H1055" s="219"/>
    </row>
    <row r="1056" spans="2:8" x14ac:dyDescent="0.25">
      <c r="B1056" s="38" t="s">
        <v>121</v>
      </c>
      <c r="C1056" s="39" t="s">
        <v>122</v>
      </c>
      <c r="D1056" s="38" t="s">
        <v>123</v>
      </c>
      <c r="E1056" s="38" t="s">
        <v>124</v>
      </c>
      <c r="F1056" s="84" t="s">
        <v>125</v>
      </c>
      <c r="G1056" s="40" t="s">
        <v>126</v>
      </c>
      <c r="H1056" s="41" t="s">
        <v>127</v>
      </c>
    </row>
    <row r="1057" spans="2:8" ht="30" x14ac:dyDescent="0.25">
      <c r="B1057" s="42" t="s">
        <v>947</v>
      </c>
      <c r="C1057" s="43" t="s">
        <v>948</v>
      </c>
      <c r="D1057" s="44" t="s">
        <v>123</v>
      </c>
      <c r="E1057" s="38" t="s">
        <v>128</v>
      </c>
      <c r="F1057" s="84"/>
      <c r="G1057" s="40"/>
      <c r="H1057" s="45">
        <f>SUM(H1059:H1060)</f>
        <v>24.625599999999999</v>
      </c>
    </row>
    <row r="1058" spans="2:8" x14ac:dyDescent="0.25">
      <c r="B1058" s="53" t="s">
        <v>702</v>
      </c>
      <c r="C1058" s="47" t="s">
        <v>703</v>
      </c>
      <c r="D1058" s="69" t="s">
        <v>597</v>
      </c>
      <c r="E1058" s="49" t="s">
        <v>272</v>
      </c>
      <c r="F1058" s="71">
        <v>0.2</v>
      </c>
      <c r="G1058" s="88">
        <v>4.8600000000000003</v>
      </c>
      <c r="H1058" s="51">
        <f t="shared" ref="H1058:H1060" si="97">F1058*G1058</f>
        <v>0.97200000000000009</v>
      </c>
    </row>
    <row r="1059" spans="2:8" x14ac:dyDescent="0.25">
      <c r="B1059" s="53"/>
      <c r="C1059" s="43" t="s">
        <v>155</v>
      </c>
      <c r="D1059" s="61" t="s">
        <v>156</v>
      </c>
      <c r="E1059" s="38" t="s">
        <v>139</v>
      </c>
      <c r="F1059" s="121">
        <v>1.3</v>
      </c>
      <c r="G1059" s="51"/>
      <c r="H1059" s="63">
        <f>(H1058)*(1+F1059)</f>
        <v>2.2355999999999998</v>
      </c>
    </row>
    <row r="1060" spans="2:8" ht="30" x14ac:dyDescent="0.25">
      <c r="B1060" s="53" t="s">
        <v>949</v>
      </c>
      <c r="C1060" s="47" t="s">
        <v>948</v>
      </c>
      <c r="D1060" s="69" t="s">
        <v>123</v>
      </c>
      <c r="E1060" s="49" t="s">
        <v>159</v>
      </c>
      <c r="F1060" s="71">
        <v>1</v>
      </c>
      <c r="G1060" s="88">
        <v>22.39</v>
      </c>
      <c r="H1060" s="51">
        <f t="shared" si="97"/>
        <v>22.39</v>
      </c>
    </row>
    <row r="1061" spans="2:8" x14ac:dyDescent="0.25">
      <c r="B1061" s="52" t="s">
        <v>130</v>
      </c>
      <c r="C1061" s="195" t="s">
        <v>321</v>
      </c>
      <c r="D1061" s="196"/>
      <c r="E1061" s="196"/>
      <c r="F1061" s="196"/>
      <c r="G1061" s="196"/>
      <c r="H1061" s="197"/>
    </row>
    <row r="1064" spans="2:8" ht="15.75" customHeight="1" x14ac:dyDescent="0.25">
      <c r="B1064" s="229" t="s">
        <v>598</v>
      </c>
      <c r="C1064" s="219"/>
      <c r="D1064" s="219"/>
      <c r="E1064" s="219"/>
      <c r="F1064" s="219"/>
      <c r="G1064" s="219"/>
      <c r="H1064" s="219"/>
    </row>
    <row r="1065" spans="2:8" x14ac:dyDescent="0.25">
      <c r="B1065" s="38" t="s">
        <v>121</v>
      </c>
      <c r="C1065" s="39" t="s">
        <v>122</v>
      </c>
      <c r="D1065" s="38" t="s">
        <v>123</v>
      </c>
      <c r="E1065" s="38" t="s">
        <v>124</v>
      </c>
      <c r="F1065" s="84" t="s">
        <v>125</v>
      </c>
      <c r="G1065" s="40" t="s">
        <v>126</v>
      </c>
      <c r="H1065" s="41" t="s">
        <v>127</v>
      </c>
    </row>
    <row r="1066" spans="2:8" ht="30" x14ac:dyDescent="0.25">
      <c r="B1066" s="42" t="s">
        <v>1509</v>
      </c>
      <c r="C1066" s="43" t="s">
        <v>1508</v>
      </c>
      <c r="D1066" s="44" t="s">
        <v>123</v>
      </c>
      <c r="E1066" s="38" t="s">
        <v>128</v>
      </c>
      <c r="F1066" s="84"/>
      <c r="G1066" s="40"/>
      <c r="H1066" s="45">
        <f>SUM(H1070:H1075)</f>
        <v>256.41000000000003</v>
      </c>
    </row>
    <row r="1067" spans="2:8" x14ac:dyDescent="0.25">
      <c r="B1067" s="53" t="s">
        <v>702</v>
      </c>
      <c r="C1067" s="47" t="s">
        <v>703</v>
      </c>
      <c r="D1067" s="69" t="s">
        <v>138</v>
      </c>
      <c r="E1067" s="49" t="s">
        <v>272</v>
      </c>
      <c r="F1067" s="71">
        <v>2</v>
      </c>
      <c r="G1067" s="88">
        <v>4.8600000000000003</v>
      </c>
      <c r="H1067" s="51">
        <f t="shared" ref="H1067:H1075" si="98">F1067*G1067</f>
        <v>9.7200000000000006</v>
      </c>
    </row>
    <row r="1068" spans="2:8" x14ac:dyDescent="0.25">
      <c r="B1068" s="79" t="s">
        <v>701</v>
      </c>
      <c r="C1068" s="47" t="s">
        <v>735</v>
      </c>
      <c r="D1068" s="69" t="s">
        <v>138</v>
      </c>
      <c r="E1068" s="49" t="s">
        <v>272</v>
      </c>
      <c r="F1068" s="71">
        <v>2</v>
      </c>
      <c r="G1068" s="88">
        <v>8.24</v>
      </c>
      <c r="H1068" s="51">
        <f t="shared" ref="H1068" si="99">F1068*G1068</f>
        <v>16.48</v>
      </c>
    </row>
    <row r="1069" spans="2:8" x14ac:dyDescent="0.25">
      <c r="B1069" s="53" t="s">
        <v>763</v>
      </c>
      <c r="C1069" s="47" t="s">
        <v>764</v>
      </c>
      <c r="D1069" s="69" t="s">
        <v>138</v>
      </c>
      <c r="E1069" s="49" t="s">
        <v>272</v>
      </c>
      <c r="F1069" s="71">
        <v>2</v>
      </c>
      <c r="G1069" s="88">
        <v>8.24</v>
      </c>
      <c r="H1069" s="51">
        <f t="shared" si="98"/>
        <v>16.48</v>
      </c>
    </row>
    <row r="1070" spans="2:8" x14ac:dyDescent="0.25">
      <c r="B1070" s="53"/>
      <c r="C1070" s="43" t="s">
        <v>155</v>
      </c>
      <c r="D1070" s="61" t="s">
        <v>156</v>
      </c>
      <c r="E1070" s="38" t="s">
        <v>139</v>
      </c>
      <c r="F1070" s="121">
        <v>1.3</v>
      </c>
      <c r="G1070" s="51"/>
      <c r="H1070" s="63">
        <f>(SUM(H1067:H1069))*(1+F1070)</f>
        <v>98.164000000000001</v>
      </c>
    </row>
    <row r="1071" spans="2:8" x14ac:dyDescent="0.25">
      <c r="B1071" s="53" t="s">
        <v>1511</v>
      </c>
      <c r="C1071" s="47" t="s">
        <v>1510</v>
      </c>
      <c r="D1071" s="69" t="s">
        <v>143</v>
      </c>
      <c r="E1071" s="49" t="s">
        <v>159</v>
      </c>
      <c r="F1071" s="125">
        <v>1.2</v>
      </c>
      <c r="G1071" s="88">
        <v>4.78</v>
      </c>
      <c r="H1071" s="51">
        <f t="shared" si="98"/>
        <v>5.7359999999999998</v>
      </c>
    </row>
    <row r="1072" spans="2:8" x14ac:dyDescent="0.25">
      <c r="B1072" s="79" t="s">
        <v>1513</v>
      </c>
      <c r="C1072" s="47" t="s">
        <v>1512</v>
      </c>
      <c r="D1072" s="69" t="s">
        <v>123</v>
      </c>
      <c r="E1072" s="49" t="s">
        <v>159</v>
      </c>
      <c r="F1072" s="71">
        <v>1</v>
      </c>
      <c r="G1072" s="88">
        <v>8.9499999999999993</v>
      </c>
      <c r="H1072" s="51">
        <f t="shared" si="98"/>
        <v>8.9499999999999993</v>
      </c>
    </row>
    <row r="1073" spans="2:8" x14ac:dyDescent="0.25">
      <c r="B1073" s="53" t="s">
        <v>1516</v>
      </c>
      <c r="C1073" s="47" t="s">
        <v>1514</v>
      </c>
      <c r="D1073" s="69" t="s">
        <v>123</v>
      </c>
      <c r="E1073" s="49" t="s">
        <v>159</v>
      </c>
      <c r="F1073" s="71">
        <v>1</v>
      </c>
      <c r="G1073" s="88">
        <v>31.13</v>
      </c>
      <c r="H1073" s="51">
        <f t="shared" si="98"/>
        <v>31.13</v>
      </c>
    </row>
    <row r="1074" spans="2:8" x14ac:dyDescent="0.25">
      <c r="B1074" s="53" t="s">
        <v>1517</v>
      </c>
      <c r="C1074" s="47" t="s">
        <v>1515</v>
      </c>
      <c r="D1074" s="69" t="s">
        <v>123</v>
      </c>
      <c r="E1074" s="49" t="s">
        <v>159</v>
      </c>
      <c r="F1074" s="71">
        <v>1</v>
      </c>
      <c r="G1074" s="88">
        <v>2.5299999999999998</v>
      </c>
      <c r="H1074" s="51">
        <f t="shared" si="98"/>
        <v>2.5299999999999998</v>
      </c>
    </row>
    <row r="1075" spans="2:8" x14ac:dyDescent="0.25">
      <c r="B1075" s="53" t="s">
        <v>1519</v>
      </c>
      <c r="C1075" s="47" t="s">
        <v>1518</v>
      </c>
      <c r="D1075" s="69" t="s">
        <v>123</v>
      </c>
      <c r="E1075" s="49" t="s">
        <v>159</v>
      </c>
      <c r="F1075" s="71">
        <v>1</v>
      </c>
      <c r="G1075" s="88">
        <v>109.9</v>
      </c>
      <c r="H1075" s="51">
        <f t="shared" si="98"/>
        <v>109.9</v>
      </c>
    </row>
    <row r="1076" spans="2:8" x14ac:dyDescent="0.25">
      <c r="B1076" s="52" t="s">
        <v>130</v>
      </c>
      <c r="C1076" s="195" t="s">
        <v>613</v>
      </c>
      <c r="D1076" s="196"/>
      <c r="E1076" s="196"/>
      <c r="F1076" s="196"/>
      <c r="G1076" s="196"/>
      <c r="H1076" s="197"/>
    </row>
    <row r="1079" spans="2:8" ht="15.75" x14ac:dyDescent="0.25">
      <c r="B1079" s="229" t="s">
        <v>614</v>
      </c>
      <c r="C1079" s="219"/>
      <c r="D1079" s="219"/>
      <c r="E1079" s="219"/>
      <c r="F1079" s="219"/>
      <c r="G1079" s="219"/>
      <c r="H1079" s="219"/>
    </row>
    <row r="1080" spans="2:8" x14ac:dyDescent="0.25">
      <c r="B1080" s="38" t="s">
        <v>121</v>
      </c>
      <c r="C1080" s="39" t="s">
        <v>122</v>
      </c>
      <c r="D1080" s="38" t="s">
        <v>123</v>
      </c>
      <c r="E1080" s="38" t="s">
        <v>124</v>
      </c>
      <c r="F1080" s="84" t="s">
        <v>125</v>
      </c>
      <c r="G1080" s="40" t="s">
        <v>126</v>
      </c>
      <c r="H1080" s="41" t="s">
        <v>127</v>
      </c>
    </row>
    <row r="1081" spans="2:8" ht="45" x14ac:dyDescent="0.25">
      <c r="B1081" s="42" t="s">
        <v>950</v>
      </c>
      <c r="C1081" s="43" t="s">
        <v>951</v>
      </c>
      <c r="D1081" s="44" t="s">
        <v>123</v>
      </c>
      <c r="E1081" s="38" t="s">
        <v>128</v>
      </c>
      <c r="F1081" s="84"/>
      <c r="G1081" s="40"/>
      <c r="H1081" s="45">
        <f>SUM(H1082:H1085)</f>
        <v>195.42</v>
      </c>
    </row>
    <row r="1082" spans="2:8" ht="30" x14ac:dyDescent="0.25">
      <c r="B1082" s="53" t="s">
        <v>952</v>
      </c>
      <c r="C1082" s="47" t="s">
        <v>953</v>
      </c>
      <c r="D1082" s="69" t="s">
        <v>123</v>
      </c>
      <c r="E1082" s="49" t="s">
        <v>128</v>
      </c>
      <c r="F1082" s="71">
        <v>1</v>
      </c>
      <c r="G1082" s="88">
        <v>154.37</v>
      </c>
      <c r="H1082" s="51">
        <f t="shared" ref="H1082:H1085" si="100">F1082*G1082</f>
        <v>154.37</v>
      </c>
    </row>
    <row r="1083" spans="2:8" ht="30" x14ac:dyDescent="0.25">
      <c r="B1083" s="53" t="s">
        <v>954</v>
      </c>
      <c r="C1083" s="47" t="s">
        <v>955</v>
      </c>
      <c r="D1083" s="69" t="s">
        <v>123</v>
      </c>
      <c r="E1083" s="49" t="s">
        <v>128</v>
      </c>
      <c r="F1083" s="71">
        <v>1</v>
      </c>
      <c r="G1083" s="88">
        <v>5.31</v>
      </c>
      <c r="H1083" s="51">
        <f t="shared" si="100"/>
        <v>5.31</v>
      </c>
    </row>
    <row r="1084" spans="2:8" x14ac:dyDescent="0.25">
      <c r="B1084" s="53" t="s">
        <v>956</v>
      </c>
      <c r="C1084" s="47" t="s">
        <v>957</v>
      </c>
      <c r="D1084" s="69" t="s">
        <v>123</v>
      </c>
      <c r="E1084" s="49" t="s">
        <v>128</v>
      </c>
      <c r="F1084" s="71">
        <v>1</v>
      </c>
      <c r="G1084" s="88">
        <v>14.95</v>
      </c>
      <c r="H1084" s="51">
        <f t="shared" si="100"/>
        <v>14.95</v>
      </c>
    </row>
    <row r="1085" spans="2:8" ht="30" x14ac:dyDescent="0.25">
      <c r="B1085" s="79" t="s">
        <v>958</v>
      </c>
      <c r="C1085" s="47" t="s">
        <v>959</v>
      </c>
      <c r="D1085" s="69" t="s">
        <v>123</v>
      </c>
      <c r="E1085" s="49" t="s">
        <v>128</v>
      </c>
      <c r="F1085" s="71">
        <v>1</v>
      </c>
      <c r="G1085" s="88">
        <v>20.79</v>
      </c>
      <c r="H1085" s="51">
        <f t="shared" si="100"/>
        <v>20.79</v>
      </c>
    </row>
    <row r="1086" spans="2:8" x14ac:dyDescent="0.25">
      <c r="B1086" s="52" t="s">
        <v>130</v>
      </c>
      <c r="C1086" s="195" t="s">
        <v>232</v>
      </c>
      <c r="D1086" s="196"/>
      <c r="E1086" s="196"/>
      <c r="F1086" s="196"/>
      <c r="G1086" s="196"/>
      <c r="H1086" s="197"/>
    </row>
    <row r="1088" spans="2:8" ht="15.75" customHeight="1" x14ac:dyDescent="0.25"/>
    <row r="1089" spans="2:8" ht="15.75" customHeight="1" x14ac:dyDescent="0.25">
      <c r="B1089" s="229" t="s">
        <v>615</v>
      </c>
      <c r="C1089" s="219"/>
      <c r="D1089" s="219"/>
      <c r="E1089" s="219"/>
      <c r="F1089" s="219"/>
      <c r="G1089" s="219"/>
      <c r="H1089" s="219"/>
    </row>
    <row r="1090" spans="2:8" x14ac:dyDescent="0.25">
      <c r="B1090" s="38" t="s">
        <v>121</v>
      </c>
      <c r="C1090" s="39" t="s">
        <v>122</v>
      </c>
      <c r="D1090" s="38" t="s">
        <v>123</v>
      </c>
      <c r="E1090" s="38" t="s">
        <v>124</v>
      </c>
      <c r="F1090" s="84" t="s">
        <v>125</v>
      </c>
      <c r="G1090" s="40" t="s">
        <v>126</v>
      </c>
      <c r="H1090" s="41" t="s">
        <v>127</v>
      </c>
    </row>
    <row r="1091" spans="2:8" ht="45" x14ac:dyDescent="0.25">
      <c r="B1091" s="42" t="s">
        <v>1533</v>
      </c>
      <c r="C1091" s="43" t="s">
        <v>1532</v>
      </c>
      <c r="D1091" s="44" t="s">
        <v>123</v>
      </c>
      <c r="E1091" s="38" t="s">
        <v>128</v>
      </c>
      <c r="F1091" s="84"/>
      <c r="G1091" s="40"/>
      <c r="H1091" s="45">
        <f>SUM(H1092:H1096)</f>
        <v>260.58</v>
      </c>
    </row>
    <row r="1092" spans="2:8" ht="30" x14ac:dyDescent="0.25">
      <c r="B1092" s="53" t="s">
        <v>1535</v>
      </c>
      <c r="C1092" s="47" t="s">
        <v>1534</v>
      </c>
      <c r="D1092" s="69" t="s">
        <v>123</v>
      </c>
      <c r="E1092" s="49" t="s">
        <v>128</v>
      </c>
      <c r="F1092" s="71">
        <v>1</v>
      </c>
      <c r="G1092" s="93">
        <v>5.5</v>
      </c>
      <c r="H1092" s="51">
        <f t="shared" ref="H1092:H1096" si="101">F1092*G1092</f>
        <v>5.5</v>
      </c>
    </row>
    <row r="1093" spans="2:8" x14ac:dyDescent="0.25">
      <c r="B1093" s="79" t="s">
        <v>1536</v>
      </c>
      <c r="C1093" s="47" t="s">
        <v>1540</v>
      </c>
      <c r="D1093" s="69" t="s">
        <v>123</v>
      </c>
      <c r="E1093" s="49" t="s">
        <v>128</v>
      </c>
      <c r="F1093" s="71">
        <v>1</v>
      </c>
      <c r="G1093" s="88">
        <v>9.0500000000000007</v>
      </c>
      <c r="H1093" s="51">
        <f t="shared" si="101"/>
        <v>9.0500000000000007</v>
      </c>
    </row>
    <row r="1094" spans="2:8" x14ac:dyDescent="0.25">
      <c r="B1094" s="53" t="s">
        <v>1537</v>
      </c>
      <c r="C1094" s="47" t="s">
        <v>1541</v>
      </c>
      <c r="D1094" s="69" t="s">
        <v>143</v>
      </c>
      <c r="E1094" s="49" t="s">
        <v>128</v>
      </c>
      <c r="F1094" s="71">
        <v>1</v>
      </c>
      <c r="G1094" s="88">
        <v>6.77</v>
      </c>
      <c r="H1094" s="51">
        <f t="shared" si="101"/>
        <v>6.77</v>
      </c>
    </row>
    <row r="1095" spans="2:8" ht="30" x14ac:dyDescent="0.25">
      <c r="B1095" s="53" t="s">
        <v>1538</v>
      </c>
      <c r="C1095" s="47" t="s">
        <v>1542</v>
      </c>
      <c r="D1095" s="69" t="s">
        <v>123</v>
      </c>
      <c r="E1095" s="49" t="s">
        <v>128</v>
      </c>
      <c r="F1095" s="71">
        <v>1</v>
      </c>
      <c r="G1095" s="88">
        <v>199.47</v>
      </c>
      <c r="H1095" s="51">
        <f t="shared" si="101"/>
        <v>199.47</v>
      </c>
    </row>
    <row r="1096" spans="2:8" ht="30" x14ac:dyDescent="0.25">
      <c r="B1096" s="79" t="s">
        <v>1539</v>
      </c>
      <c r="C1096" s="47" t="s">
        <v>1543</v>
      </c>
      <c r="D1096" s="69" t="s">
        <v>123</v>
      </c>
      <c r="E1096" s="49" t="s">
        <v>128</v>
      </c>
      <c r="F1096" s="71">
        <v>1</v>
      </c>
      <c r="G1096" s="88">
        <v>39.79</v>
      </c>
      <c r="H1096" s="51">
        <f t="shared" si="101"/>
        <v>39.79</v>
      </c>
    </row>
    <row r="1097" spans="2:8" x14ac:dyDescent="0.25">
      <c r="B1097" s="52" t="s">
        <v>130</v>
      </c>
      <c r="C1097" s="195" t="s">
        <v>232</v>
      </c>
      <c r="D1097" s="196"/>
      <c r="E1097" s="196"/>
      <c r="F1097" s="196"/>
      <c r="G1097" s="196"/>
      <c r="H1097" s="197"/>
    </row>
    <row r="1099" spans="2:8" ht="15.75" customHeight="1" x14ac:dyDescent="0.25"/>
    <row r="1100" spans="2:8" ht="15.75" customHeight="1" x14ac:dyDescent="0.25">
      <c r="B1100" s="229" t="s">
        <v>632</v>
      </c>
      <c r="C1100" s="219"/>
      <c r="D1100" s="219"/>
      <c r="E1100" s="219"/>
      <c r="F1100" s="219"/>
      <c r="G1100" s="219"/>
      <c r="H1100" s="219"/>
    </row>
    <row r="1101" spans="2:8" x14ac:dyDescent="0.25">
      <c r="B1101" s="38" t="s">
        <v>121</v>
      </c>
      <c r="C1101" s="39" t="s">
        <v>122</v>
      </c>
      <c r="D1101" s="38" t="s">
        <v>123</v>
      </c>
      <c r="E1101" s="38" t="s">
        <v>124</v>
      </c>
      <c r="F1101" s="84" t="s">
        <v>125</v>
      </c>
      <c r="G1101" s="40" t="s">
        <v>126</v>
      </c>
      <c r="H1101" s="41" t="s">
        <v>127</v>
      </c>
    </row>
    <row r="1102" spans="2:8" x14ac:dyDescent="0.25">
      <c r="B1102" s="42" t="s">
        <v>1545</v>
      </c>
      <c r="C1102" s="43" t="s">
        <v>1746</v>
      </c>
      <c r="D1102" s="44" t="s">
        <v>123</v>
      </c>
      <c r="E1102" s="38" t="s">
        <v>128</v>
      </c>
      <c r="F1102" s="84"/>
      <c r="G1102" s="40"/>
      <c r="H1102" s="45">
        <f>SUM(H1103:H1104)</f>
        <v>165.26999999999998</v>
      </c>
    </row>
    <row r="1103" spans="2:8" ht="30" x14ac:dyDescent="0.25">
      <c r="B1103" s="53" t="s">
        <v>1548</v>
      </c>
      <c r="C1103" s="47" t="s">
        <v>1546</v>
      </c>
      <c r="D1103" s="69" t="s">
        <v>123</v>
      </c>
      <c r="E1103" s="49" t="s">
        <v>159</v>
      </c>
      <c r="F1103" s="71">
        <v>1</v>
      </c>
      <c r="G1103" s="93">
        <v>5.32</v>
      </c>
      <c r="H1103" s="51">
        <f t="shared" ref="H1103:H1104" si="102">F1103*G1103</f>
        <v>5.32</v>
      </c>
    </row>
    <row r="1104" spans="2:8" x14ac:dyDescent="0.25">
      <c r="B1104" s="53" t="s">
        <v>1549</v>
      </c>
      <c r="C1104" s="47" t="s">
        <v>1547</v>
      </c>
      <c r="D1104" s="69" t="s">
        <v>123</v>
      </c>
      <c r="E1104" s="49" t="s">
        <v>128</v>
      </c>
      <c r="F1104" s="71">
        <v>1</v>
      </c>
      <c r="G1104" s="88">
        <v>159.94999999999999</v>
      </c>
      <c r="H1104" s="51">
        <f t="shared" si="102"/>
        <v>159.94999999999999</v>
      </c>
    </row>
    <row r="1105" spans="2:8" x14ac:dyDescent="0.25">
      <c r="B1105" s="52" t="s">
        <v>130</v>
      </c>
      <c r="C1105" s="195" t="s">
        <v>232</v>
      </c>
      <c r="D1105" s="196"/>
      <c r="E1105" s="196"/>
      <c r="F1105" s="196"/>
      <c r="G1105" s="196"/>
      <c r="H1105" s="197"/>
    </row>
    <row r="1108" spans="2:8" ht="15.75" x14ac:dyDescent="0.25">
      <c r="B1108" s="229" t="s">
        <v>646</v>
      </c>
      <c r="C1108" s="219"/>
      <c r="D1108" s="219"/>
      <c r="E1108" s="219"/>
      <c r="F1108" s="219"/>
      <c r="G1108" s="219"/>
      <c r="H1108" s="219"/>
    </row>
    <row r="1109" spans="2:8" x14ac:dyDescent="0.25">
      <c r="B1109" s="38" t="s">
        <v>121</v>
      </c>
      <c r="C1109" s="39" t="s">
        <v>122</v>
      </c>
      <c r="D1109" s="38" t="s">
        <v>123</v>
      </c>
      <c r="E1109" s="38" t="s">
        <v>124</v>
      </c>
      <c r="F1109" s="84" t="s">
        <v>125</v>
      </c>
      <c r="G1109" s="40" t="s">
        <v>126</v>
      </c>
      <c r="H1109" s="41" t="s">
        <v>127</v>
      </c>
    </row>
    <row r="1110" spans="2:8" x14ac:dyDescent="0.25">
      <c r="B1110" s="42" t="s">
        <v>647</v>
      </c>
      <c r="C1110" s="43" t="s">
        <v>1528</v>
      </c>
      <c r="D1110" s="44" t="s">
        <v>123</v>
      </c>
      <c r="E1110" s="38" t="s">
        <v>128</v>
      </c>
      <c r="F1110" s="84"/>
      <c r="G1110" s="40"/>
      <c r="H1110" s="45">
        <f>SUM(H1113:H1115)</f>
        <v>63.654398</v>
      </c>
    </row>
    <row r="1111" spans="2:8" x14ac:dyDescent="0.25">
      <c r="B1111" s="53" t="s">
        <v>702</v>
      </c>
      <c r="C1111" s="47" t="s">
        <v>703</v>
      </c>
      <c r="D1111" s="69" t="s">
        <v>138</v>
      </c>
      <c r="E1111" s="49" t="s">
        <v>272</v>
      </c>
      <c r="F1111" s="71">
        <v>0.44700000000000001</v>
      </c>
      <c r="G1111" s="88">
        <v>4.8600000000000003</v>
      </c>
      <c r="H1111" s="51">
        <f t="shared" ref="H1111:H1114" si="103">F1111*G1111</f>
        <v>2.1724200000000002</v>
      </c>
    </row>
    <row r="1112" spans="2:8" x14ac:dyDescent="0.25">
      <c r="B1112" s="164" t="s">
        <v>1735</v>
      </c>
      <c r="C1112" s="47" t="s">
        <v>532</v>
      </c>
      <c r="D1112" s="69" t="s">
        <v>138</v>
      </c>
      <c r="E1112" s="49" t="s">
        <v>272</v>
      </c>
      <c r="F1112" s="71">
        <v>0.14099999999999999</v>
      </c>
      <c r="G1112" s="88">
        <v>8.24</v>
      </c>
      <c r="H1112" s="51">
        <f t="shared" si="103"/>
        <v>1.16184</v>
      </c>
    </row>
    <row r="1113" spans="2:8" x14ac:dyDescent="0.25">
      <c r="B1113" s="53"/>
      <c r="C1113" s="43" t="s">
        <v>155</v>
      </c>
      <c r="D1113" s="61" t="s">
        <v>156</v>
      </c>
      <c r="E1113" s="38" t="s">
        <v>139</v>
      </c>
      <c r="F1113" s="121">
        <v>1.3</v>
      </c>
      <c r="G1113" s="51"/>
      <c r="H1113" s="63">
        <f>(SUM(H1111:H1112))*(1+F1113)</f>
        <v>7.6687980000000007</v>
      </c>
    </row>
    <row r="1114" spans="2:8" x14ac:dyDescent="0.25">
      <c r="B1114" s="53" t="s">
        <v>603</v>
      </c>
      <c r="C1114" s="47" t="s">
        <v>1529</v>
      </c>
      <c r="D1114" s="69" t="s">
        <v>143</v>
      </c>
      <c r="E1114" s="49" t="s">
        <v>159</v>
      </c>
      <c r="F1114" s="71">
        <v>2.1000000000000001E-2</v>
      </c>
      <c r="G1114" s="88">
        <v>3.6</v>
      </c>
      <c r="H1114" s="51">
        <f t="shared" si="103"/>
        <v>7.5600000000000001E-2</v>
      </c>
    </row>
    <row r="1115" spans="2:8" x14ac:dyDescent="0.25">
      <c r="B1115" s="79" t="s">
        <v>650</v>
      </c>
      <c r="C1115" s="47" t="s">
        <v>1530</v>
      </c>
      <c r="D1115" s="69" t="s">
        <v>123</v>
      </c>
      <c r="E1115" s="49" t="s">
        <v>159</v>
      </c>
      <c r="F1115" s="71">
        <v>1</v>
      </c>
      <c r="G1115" s="88">
        <v>54.9</v>
      </c>
      <c r="H1115" s="51">
        <v>55.91</v>
      </c>
    </row>
    <row r="1116" spans="2:8" x14ac:dyDescent="0.25">
      <c r="B1116" s="52" t="s">
        <v>130</v>
      </c>
      <c r="C1116" s="195" t="s">
        <v>131</v>
      </c>
      <c r="D1116" s="196"/>
      <c r="E1116" s="196"/>
      <c r="F1116" s="196"/>
      <c r="G1116" s="196"/>
      <c r="H1116" s="197"/>
    </row>
    <row r="1119" spans="2:8" ht="15.75" customHeight="1" x14ac:dyDescent="0.25">
      <c r="B1119" s="229" t="s">
        <v>652</v>
      </c>
      <c r="C1119" s="219"/>
      <c r="D1119" s="219"/>
      <c r="E1119" s="219"/>
      <c r="F1119" s="219"/>
      <c r="G1119" s="219"/>
      <c r="H1119" s="219"/>
    </row>
    <row r="1120" spans="2:8" x14ac:dyDescent="0.25">
      <c r="B1120" s="38" t="s">
        <v>121</v>
      </c>
      <c r="C1120" s="39" t="s">
        <v>122</v>
      </c>
      <c r="D1120" s="38" t="s">
        <v>123</v>
      </c>
      <c r="E1120" s="38" t="s">
        <v>124</v>
      </c>
      <c r="F1120" s="84" t="s">
        <v>125</v>
      </c>
      <c r="G1120" s="40" t="s">
        <v>126</v>
      </c>
      <c r="H1120" s="41" t="s">
        <v>127</v>
      </c>
    </row>
    <row r="1121" spans="2:8" x14ac:dyDescent="0.25">
      <c r="B1121" s="42" t="s">
        <v>1521</v>
      </c>
      <c r="C1121" s="43" t="s">
        <v>654</v>
      </c>
      <c r="D1121" s="44" t="s">
        <v>117</v>
      </c>
      <c r="E1121" s="38" t="s">
        <v>128</v>
      </c>
      <c r="F1121" s="84"/>
      <c r="G1121" s="40"/>
      <c r="H1121" s="45">
        <f>SUM(H1123:H1125)</f>
        <v>1.5477999999999998</v>
      </c>
    </row>
    <row r="1122" spans="2:8" x14ac:dyDescent="0.25">
      <c r="B1122" s="53" t="s">
        <v>702</v>
      </c>
      <c r="C1122" s="47" t="s">
        <v>703</v>
      </c>
      <c r="D1122" s="69" t="s">
        <v>143</v>
      </c>
      <c r="E1122" s="49" t="s">
        <v>272</v>
      </c>
      <c r="F1122" s="71">
        <v>0.1</v>
      </c>
      <c r="G1122" s="88">
        <v>4.8600000000000003</v>
      </c>
      <c r="H1122" s="51">
        <f>F1122*G1122</f>
        <v>0.48600000000000004</v>
      </c>
    </row>
    <row r="1123" spans="2:8" x14ac:dyDescent="0.25">
      <c r="B1123" s="53"/>
      <c r="C1123" s="43" t="s">
        <v>155</v>
      </c>
      <c r="D1123" s="61" t="s">
        <v>156</v>
      </c>
      <c r="E1123" s="38" t="s">
        <v>139</v>
      </c>
      <c r="F1123" s="121">
        <v>1.3</v>
      </c>
      <c r="G1123" s="51"/>
      <c r="H1123" s="63">
        <f>(SUM(H1122))*(1+F1123)</f>
        <v>1.1177999999999999</v>
      </c>
    </row>
    <row r="1124" spans="2:8" x14ac:dyDescent="0.25">
      <c r="B1124" s="53" t="s">
        <v>1524</v>
      </c>
      <c r="C1124" s="47" t="s">
        <v>1522</v>
      </c>
      <c r="D1124" s="69" t="s">
        <v>1526</v>
      </c>
      <c r="E1124" s="49" t="s">
        <v>159</v>
      </c>
      <c r="F1124" s="71">
        <v>5.0000000000000001E-3</v>
      </c>
      <c r="G1124" s="88">
        <v>7</v>
      </c>
      <c r="H1124" s="51">
        <f t="shared" ref="H1124:H1125" si="104">F1124*G1124</f>
        <v>3.5000000000000003E-2</v>
      </c>
    </row>
    <row r="1125" spans="2:8" x14ac:dyDescent="0.25">
      <c r="B1125" s="79" t="s">
        <v>1525</v>
      </c>
      <c r="C1125" s="47" t="s">
        <v>1523</v>
      </c>
      <c r="D1125" s="69" t="s">
        <v>123</v>
      </c>
      <c r="E1125" s="49" t="s">
        <v>159</v>
      </c>
      <c r="F1125" s="71">
        <v>0.05</v>
      </c>
      <c r="G1125" s="88">
        <v>7.9</v>
      </c>
      <c r="H1125" s="51">
        <f t="shared" si="104"/>
        <v>0.39500000000000002</v>
      </c>
    </row>
    <row r="1126" spans="2:8" x14ac:dyDescent="0.25">
      <c r="B1126" s="52" t="s">
        <v>130</v>
      </c>
      <c r="C1126" s="195" t="s">
        <v>321</v>
      </c>
      <c r="D1126" s="196"/>
      <c r="E1126" s="196"/>
      <c r="F1126" s="196"/>
      <c r="G1126" s="196"/>
      <c r="H1126" s="197"/>
    </row>
    <row r="1130" spans="2:8" x14ac:dyDescent="0.25">
      <c r="B1130" s="137" t="s">
        <v>1554</v>
      </c>
      <c r="C1130" s="137" t="s">
        <v>1555</v>
      </c>
      <c r="D1130" s="137" t="s">
        <v>2</v>
      </c>
      <c r="E1130" s="137" t="s">
        <v>1556</v>
      </c>
    </row>
    <row r="1131" spans="2:8" x14ac:dyDescent="0.25">
      <c r="B1131" t="s">
        <v>121</v>
      </c>
      <c r="C1131" t="s">
        <v>122</v>
      </c>
      <c r="D1131" t="s">
        <v>1557</v>
      </c>
      <c r="E1131" s="138" t="s">
        <v>1558</v>
      </c>
      <c r="F1131" s="40" t="s">
        <v>126</v>
      </c>
      <c r="G1131" s="41" t="s">
        <v>127</v>
      </c>
    </row>
    <row r="1132" spans="2:8" x14ac:dyDescent="0.25">
      <c r="B1132" t="s">
        <v>1559</v>
      </c>
      <c r="C1132" t="s">
        <v>1560</v>
      </c>
      <c r="D1132" t="s">
        <v>597</v>
      </c>
      <c r="E1132" s="138">
        <v>21.77</v>
      </c>
      <c r="F1132" s="139">
        <f>5.13*2.3</f>
        <v>11.798999999999999</v>
      </c>
      <c r="G1132" s="139">
        <f t="shared" ref="G1132:G1133" si="105">E1132*F1132</f>
        <v>256.86422999999996</v>
      </c>
    </row>
    <row r="1133" spans="2:8" x14ac:dyDescent="0.25">
      <c r="B1133" t="s">
        <v>1561</v>
      </c>
      <c r="C1133" t="s">
        <v>1562</v>
      </c>
      <c r="D1133" t="s">
        <v>597</v>
      </c>
      <c r="E1133" s="138">
        <v>21.77</v>
      </c>
      <c r="F1133" s="139">
        <f>8.24*2.3</f>
        <v>18.951999999999998</v>
      </c>
      <c r="G1133" s="139">
        <f t="shared" si="105"/>
        <v>412.58503999999994</v>
      </c>
    </row>
    <row r="1134" spans="2:8" x14ac:dyDescent="0.25">
      <c r="B1134" t="s">
        <v>1563</v>
      </c>
      <c r="C1134" t="s">
        <v>1564</v>
      </c>
      <c r="D1134" t="s">
        <v>1565</v>
      </c>
      <c r="E1134" s="138">
        <v>1</v>
      </c>
      <c r="F1134" s="139">
        <v>129.53</v>
      </c>
      <c r="G1134" s="139">
        <f>E1134*F1134</f>
        <v>129.53</v>
      </c>
    </row>
    <row r="1135" spans="2:8" x14ac:dyDescent="0.25">
      <c r="B1135" t="s">
        <v>1566</v>
      </c>
      <c r="C1135" t="s">
        <v>1567</v>
      </c>
      <c r="D1135" t="s">
        <v>1565</v>
      </c>
      <c r="E1135" s="138">
        <v>8</v>
      </c>
      <c r="F1135" s="139">
        <v>15.19</v>
      </c>
      <c r="G1135" s="139">
        <f t="shared" ref="G1135:G1140" si="106">E1135*F1135</f>
        <v>121.52</v>
      </c>
    </row>
    <row r="1136" spans="2:8" x14ac:dyDescent="0.25">
      <c r="B1136" t="s">
        <v>1568</v>
      </c>
      <c r="C1136" t="s">
        <v>1569</v>
      </c>
      <c r="D1136" t="s">
        <v>1565</v>
      </c>
      <c r="E1136" s="138">
        <v>1</v>
      </c>
      <c r="F1136" s="139">
        <v>12.31</v>
      </c>
      <c r="G1136" s="139">
        <f t="shared" si="106"/>
        <v>12.31</v>
      </c>
    </row>
    <row r="1137" spans="2:7" x14ac:dyDescent="0.25">
      <c r="B1137" t="s">
        <v>1570</v>
      </c>
      <c r="C1137" t="s">
        <v>1571</v>
      </c>
      <c r="D1137" t="s">
        <v>1565</v>
      </c>
      <c r="E1137" s="138">
        <v>1</v>
      </c>
      <c r="F1137" s="139">
        <v>9.52</v>
      </c>
      <c r="G1137" s="139">
        <f t="shared" si="106"/>
        <v>9.52</v>
      </c>
    </row>
    <row r="1138" spans="2:7" x14ac:dyDescent="0.25">
      <c r="B1138" t="s">
        <v>1572</v>
      </c>
      <c r="C1138" t="s">
        <v>1573</v>
      </c>
      <c r="D1138" t="s">
        <v>1565</v>
      </c>
      <c r="E1138" s="138">
        <v>1</v>
      </c>
      <c r="F1138" s="139">
        <v>69.91</v>
      </c>
      <c r="G1138" s="139">
        <f t="shared" si="106"/>
        <v>69.91</v>
      </c>
    </row>
    <row r="1139" spans="2:7" x14ac:dyDescent="0.25">
      <c r="B1139" t="s">
        <v>1574</v>
      </c>
      <c r="C1139" t="s">
        <v>1575</v>
      </c>
      <c r="D1139" t="s">
        <v>3</v>
      </c>
      <c r="E1139" s="138">
        <v>8</v>
      </c>
      <c r="F1139" s="139">
        <v>41.16</v>
      </c>
      <c r="G1139" s="139">
        <f t="shared" si="106"/>
        <v>329.28</v>
      </c>
    </row>
    <row r="1140" spans="2:7" x14ac:dyDescent="0.25">
      <c r="B1140" s="140" t="s">
        <v>1576</v>
      </c>
      <c r="C1140" s="140" t="s">
        <v>1577</v>
      </c>
      <c r="D1140" s="140" t="s">
        <v>2</v>
      </c>
      <c r="E1140" s="141">
        <v>2</v>
      </c>
      <c r="F1140" s="139">
        <v>160</v>
      </c>
      <c r="G1140" s="139">
        <f t="shared" si="106"/>
        <v>320</v>
      </c>
    </row>
    <row r="1141" spans="2:7" x14ac:dyDescent="0.25">
      <c r="F1141" s="139"/>
      <c r="G1141" s="139">
        <f>SUM(G1132:G1140)</f>
        <v>1661.5192699999998</v>
      </c>
    </row>
  </sheetData>
  <mergeCells count="192">
    <mergeCell ref="B1119:H1119"/>
    <mergeCell ref="B1089:H1089"/>
    <mergeCell ref="C1097:H1097"/>
    <mergeCell ref="B1100:H1100"/>
    <mergeCell ref="C1105:H1105"/>
    <mergeCell ref="B1108:H1108"/>
    <mergeCell ref="C1116:H1116"/>
    <mergeCell ref="B1055:H1055"/>
    <mergeCell ref="C1061:H1061"/>
    <mergeCell ref="B1064:H1064"/>
    <mergeCell ref="C1076:H1076"/>
    <mergeCell ref="B1079:H1079"/>
    <mergeCell ref="C1086:H1086"/>
    <mergeCell ref="B1022:H1022"/>
    <mergeCell ref="C1031:H1031"/>
    <mergeCell ref="B1034:H1034"/>
    <mergeCell ref="C1041:H1041"/>
    <mergeCell ref="B1044:H1044"/>
    <mergeCell ref="C1052:H1052"/>
    <mergeCell ref="B985:H985"/>
    <mergeCell ref="C993:H993"/>
    <mergeCell ref="B996:H996"/>
    <mergeCell ref="C1006:H1006"/>
    <mergeCell ref="B1009:H1009"/>
    <mergeCell ref="C1019:H1019"/>
    <mergeCell ref="B941:H941"/>
    <mergeCell ref="C952:H952"/>
    <mergeCell ref="B955:H955"/>
    <mergeCell ref="C967:H967"/>
    <mergeCell ref="B970:H970"/>
    <mergeCell ref="C982:H982"/>
    <mergeCell ref="B892:H892"/>
    <mergeCell ref="C905:H905"/>
    <mergeCell ref="B908:H908"/>
    <mergeCell ref="C921:H921"/>
    <mergeCell ref="B924:H924"/>
    <mergeCell ref="C938:H938"/>
    <mergeCell ref="B849:H849"/>
    <mergeCell ref="C858:H858"/>
    <mergeCell ref="B861:H861"/>
    <mergeCell ref="C869:H869"/>
    <mergeCell ref="B872:H872"/>
    <mergeCell ref="C889:H889"/>
    <mergeCell ref="B803:H803"/>
    <mergeCell ref="C815:H815"/>
    <mergeCell ref="B818:H818"/>
    <mergeCell ref="C831:H831"/>
    <mergeCell ref="B834:H834"/>
    <mergeCell ref="C846:H846"/>
    <mergeCell ref="B775:H775"/>
    <mergeCell ref="C782:H782"/>
    <mergeCell ref="B785:H785"/>
    <mergeCell ref="C792:H792"/>
    <mergeCell ref="B795:H795"/>
    <mergeCell ref="B732:H732"/>
    <mergeCell ref="C753:H753"/>
    <mergeCell ref="B756:H756"/>
    <mergeCell ref="C763:H763"/>
    <mergeCell ref="B766:H766"/>
    <mergeCell ref="C772:H772"/>
    <mergeCell ref="B703:H703"/>
    <mergeCell ref="C711:H711"/>
    <mergeCell ref="B714:H714"/>
    <mergeCell ref="C720:H720"/>
    <mergeCell ref="B723:H723"/>
    <mergeCell ref="C729:H729"/>
    <mergeCell ref="B670:H670"/>
    <mergeCell ref="C678:H678"/>
    <mergeCell ref="B681:H681"/>
    <mergeCell ref="C689:H689"/>
    <mergeCell ref="B692:H692"/>
    <mergeCell ref="C700:H700"/>
    <mergeCell ref="B632:H632"/>
    <mergeCell ref="C641:H641"/>
    <mergeCell ref="B644:H644"/>
    <mergeCell ref="C654:H654"/>
    <mergeCell ref="B657:H657"/>
    <mergeCell ref="C667:H667"/>
    <mergeCell ref="B597:H597"/>
    <mergeCell ref="C606:H606"/>
    <mergeCell ref="B609:H609"/>
    <mergeCell ref="C618:H618"/>
    <mergeCell ref="B620:H620"/>
    <mergeCell ref="C629:H629"/>
    <mergeCell ref="B560:H560"/>
    <mergeCell ref="C569:H569"/>
    <mergeCell ref="B572:H572"/>
    <mergeCell ref="C582:H582"/>
    <mergeCell ref="B585:H585"/>
    <mergeCell ref="C594:H594"/>
    <mergeCell ref="B526:H526"/>
    <mergeCell ref="C533:H533"/>
    <mergeCell ref="B536:H536"/>
    <mergeCell ref="C545:H545"/>
    <mergeCell ref="B548:H548"/>
    <mergeCell ref="C557:H557"/>
    <mergeCell ref="B491:H491"/>
    <mergeCell ref="C498:H498"/>
    <mergeCell ref="B501:H501"/>
    <mergeCell ref="B515:H515"/>
    <mergeCell ref="C523:H523"/>
    <mergeCell ref="B459:H459"/>
    <mergeCell ref="C466:H466"/>
    <mergeCell ref="B469:H469"/>
    <mergeCell ref="C478:H478"/>
    <mergeCell ref="B481:H481"/>
    <mergeCell ref="C488:H488"/>
    <mergeCell ref="B427:H427"/>
    <mergeCell ref="C435:H435"/>
    <mergeCell ref="B438:H438"/>
    <mergeCell ref="C446:H446"/>
    <mergeCell ref="B449:H449"/>
    <mergeCell ref="C456:H456"/>
    <mergeCell ref="B393:H393"/>
    <mergeCell ref="C402:H402"/>
    <mergeCell ref="B405:H405"/>
    <mergeCell ref="C413:H413"/>
    <mergeCell ref="B416:H416"/>
    <mergeCell ref="C424:H424"/>
    <mergeCell ref="B369:H369"/>
    <mergeCell ref="C378:H378"/>
    <mergeCell ref="B381:H381"/>
    <mergeCell ref="C390:H390"/>
    <mergeCell ref="B335:H335"/>
    <mergeCell ref="C342:H342"/>
    <mergeCell ref="B345:H345"/>
    <mergeCell ref="C354:H354"/>
    <mergeCell ref="B357:H357"/>
    <mergeCell ref="C366:H366"/>
    <mergeCell ref="B300:H300"/>
    <mergeCell ref="C313:H313"/>
    <mergeCell ref="B316:H316"/>
    <mergeCell ref="C323:H323"/>
    <mergeCell ref="B326:H326"/>
    <mergeCell ref="C332:H332"/>
    <mergeCell ref="B264:H264"/>
    <mergeCell ref="C268:H268"/>
    <mergeCell ref="B271:H271"/>
    <mergeCell ref="C281:H281"/>
    <mergeCell ref="B284:H284"/>
    <mergeCell ref="C297:H297"/>
    <mergeCell ref="C242:H242"/>
    <mergeCell ref="B245:H245"/>
    <mergeCell ref="C252:H252"/>
    <mergeCell ref="B255:H255"/>
    <mergeCell ref="C261:H261"/>
    <mergeCell ref="B211:H211"/>
    <mergeCell ref="C220:H220"/>
    <mergeCell ref="B223:H223"/>
    <mergeCell ref="C233:H233"/>
    <mergeCell ref="B191:H191"/>
    <mergeCell ref="C197:H197"/>
    <mergeCell ref="B200:H200"/>
    <mergeCell ref="C208:H208"/>
    <mergeCell ref="B155:H155"/>
    <mergeCell ref="C163:H163"/>
    <mergeCell ref="B166:H166"/>
    <mergeCell ref="C175:H175"/>
    <mergeCell ref="B236:H236"/>
    <mergeCell ref="C141:H141"/>
    <mergeCell ref="B144:H144"/>
    <mergeCell ref="C152:H152"/>
    <mergeCell ref="B99:H99"/>
    <mergeCell ref="C108:H108"/>
    <mergeCell ref="B111:H111"/>
    <mergeCell ref="C121:H121"/>
    <mergeCell ref="B178:H178"/>
    <mergeCell ref="C188:H188"/>
    <mergeCell ref="C800:H800"/>
    <mergeCell ref="C1126:H1126"/>
    <mergeCell ref="C16:H16"/>
    <mergeCell ref="B18:H18"/>
    <mergeCell ref="C26:H26"/>
    <mergeCell ref="B29:H29"/>
    <mergeCell ref="C40:H40"/>
    <mergeCell ref="B2:H2"/>
    <mergeCell ref="C10:H10"/>
    <mergeCell ref="B12:H12"/>
    <mergeCell ref="C512:H512"/>
    <mergeCell ref="B67:H67"/>
    <mergeCell ref="C73:H73"/>
    <mergeCell ref="B76:H76"/>
    <mergeCell ref="C84:H84"/>
    <mergeCell ref="B87:H87"/>
    <mergeCell ref="C96:H96"/>
    <mergeCell ref="B43:H43"/>
    <mergeCell ref="C52:H52"/>
    <mergeCell ref="B55:H55"/>
    <mergeCell ref="C64:H64"/>
    <mergeCell ref="B124:H124"/>
    <mergeCell ref="C130:H130"/>
    <mergeCell ref="B133:H133"/>
  </mergeCells>
  <pageMargins left="0.511811024" right="0.511811024" top="0.78740157499999996" bottom="0.78740157499999996" header="0.31496062000000002" footer="0.31496062000000002"/>
  <pageSetup paperSize="9" scale="64" orientation="portrait" r:id="rId1"/>
  <colBreaks count="1" manualBreakCount="1">
    <brk id="2" max="1119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11"/>
  <sheetViews>
    <sheetView topLeftCell="A108" zoomScale="80" zoomScaleNormal="80" workbookViewId="0">
      <selection activeCell="E268" sqref="E268"/>
    </sheetView>
  </sheetViews>
  <sheetFormatPr defaultColWidth="11.42578125" defaultRowHeight="15" x14ac:dyDescent="0.25"/>
  <cols>
    <col min="1" max="1" width="14.140625" customWidth="1"/>
    <col min="2" max="2" width="20.28515625" customWidth="1"/>
    <col min="3" max="3" width="22.5703125" customWidth="1"/>
    <col min="4" max="4" width="17.42578125" customWidth="1"/>
    <col min="5" max="5" width="20.85546875" customWidth="1"/>
    <col min="6" max="6" width="16.5703125" customWidth="1"/>
    <col min="7" max="7" width="25.140625" customWidth="1"/>
    <col min="8" max="8" width="13" customWidth="1"/>
  </cols>
  <sheetData>
    <row r="1" spans="2:6" ht="15.75" x14ac:dyDescent="0.25">
      <c r="B1" s="232" t="s">
        <v>53</v>
      </c>
      <c r="C1" s="233"/>
      <c r="D1" s="234"/>
    </row>
    <row r="2" spans="2:6" x14ac:dyDescent="0.25">
      <c r="B2" s="38" t="s">
        <v>995</v>
      </c>
      <c r="C2" s="39" t="s">
        <v>996</v>
      </c>
      <c r="D2" s="41" t="s">
        <v>990</v>
      </c>
    </row>
    <row r="3" spans="2:6" ht="53.25" customHeight="1" x14ac:dyDescent="0.25">
      <c r="B3" s="96">
        <v>13995.790300000001</v>
      </c>
      <c r="C3" s="97">
        <v>529.05640000000005</v>
      </c>
      <c r="D3" s="98">
        <f>B3</f>
        <v>13995.790300000001</v>
      </c>
    </row>
    <row r="5" spans="2:6" ht="15.75" x14ac:dyDescent="0.25">
      <c r="B5" s="232" t="s">
        <v>1027</v>
      </c>
      <c r="C5" s="233"/>
      <c r="D5" s="233"/>
      <c r="E5" s="233"/>
      <c r="F5" s="234"/>
    </row>
    <row r="6" spans="2:6" x14ac:dyDescent="0.25">
      <c r="B6" s="38" t="s">
        <v>991</v>
      </c>
      <c r="C6" s="39" t="s">
        <v>992</v>
      </c>
      <c r="D6" s="38" t="s">
        <v>993</v>
      </c>
      <c r="E6" s="38" t="s">
        <v>994</v>
      </c>
      <c r="F6" s="41" t="s">
        <v>990</v>
      </c>
    </row>
    <row r="7" spans="2:6" ht="53.25" customHeight="1" x14ac:dyDescent="0.25">
      <c r="B7" s="42">
        <v>30.2</v>
      </c>
      <c r="C7" s="43">
        <v>19.3</v>
      </c>
      <c r="D7" s="101">
        <v>0.3</v>
      </c>
      <c r="E7" s="38">
        <v>5</v>
      </c>
      <c r="F7" s="45">
        <f>B7*C7*D7*E7</f>
        <v>874.29</v>
      </c>
    </row>
    <row r="9" spans="2:6" ht="15.75" x14ac:dyDescent="0.25">
      <c r="B9" s="232" t="s">
        <v>1003</v>
      </c>
      <c r="C9" s="233"/>
      <c r="D9" s="233"/>
    </row>
    <row r="10" spans="2:6" x14ac:dyDescent="0.25">
      <c r="B10" s="38" t="s">
        <v>1004</v>
      </c>
      <c r="C10" s="39" t="s">
        <v>1005</v>
      </c>
      <c r="D10" s="41" t="s">
        <v>990</v>
      </c>
    </row>
    <row r="11" spans="2:6" x14ac:dyDescent="0.25">
      <c r="B11" s="42">
        <v>106.5919</v>
      </c>
      <c r="C11" s="43">
        <v>1.8</v>
      </c>
      <c r="D11" s="45">
        <f t="shared" ref="D11:D19" si="0">B11*C11</f>
        <v>191.86542</v>
      </c>
    </row>
    <row r="12" spans="2:6" x14ac:dyDescent="0.25">
      <c r="B12" s="42">
        <v>149.25290000000001</v>
      </c>
      <c r="C12" s="43">
        <v>1.8</v>
      </c>
      <c r="D12" s="45">
        <f t="shared" si="0"/>
        <v>268.65522000000004</v>
      </c>
    </row>
    <row r="13" spans="2:6" x14ac:dyDescent="0.25">
      <c r="B13" s="42">
        <v>79.763499999999993</v>
      </c>
      <c r="C13" s="43">
        <v>1.8</v>
      </c>
      <c r="D13" s="45">
        <f t="shared" si="0"/>
        <v>143.57429999999999</v>
      </c>
    </row>
    <row r="14" spans="2:6" x14ac:dyDescent="0.25">
      <c r="B14" s="42">
        <v>86.860900000000001</v>
      </c>
      <c r="C14" s="43">
        <v>1.8</v>
      </c>
      <c r="D14" s="45">
        <f t="shared" si="0"/>
        <v>156.34962000000002</v>
      </c>
    </row>
    <row r="15" spans="2:6" x14ac:dyDescent="0.25">
      <c r="B15" s="42">
        <v>39.516500000000001</v>
      </c>
      <c r="C15" s="43">
        <v>1.8</v>
      </c>
      <c r="D15" s="45">
        <f t="shared" si="0"/>
        <v>71.1297</v>
      </c>
    </row>
    <row r="16" spans="2:6" x14ac:dyDescent="0.25">
      <c r="B16" s="42">
        <v>7.3678999999999997</v>
      </c>
      <c r="C16" s="43">
        <v>1.8</v>
      </c>
      <c r="D16" s="45">
        <f t="shared" si="0"/>
        <v>13.262219999999999</v>
      </c>
    </row>
    <row r="17" spans="2:7" x14ac:dyDescent="0.25">
      <c r="B17" s="42">
        <v>1.3</v>
      </c>
      <c r="C17" s="43">
        <v>1.8</v>
      </c>
      <c r="D17" s="45">
        <f t="shared" si="0"/>
        <v>2.3400000000000003</v>
      </c>
    </row>
    <row r="18" spans="2:7" x14ac:dyDescent="0.25">
      <c r="B18" s="42">
        <v>8.8447999999999993</v>
      </c>
      <c r="C18" s="43">
        <v>1.8</v>
      </c>
      <c r="D18" s="45">
        <f t="shared" si="0"/>
        <v>15.920639999999999</v>
      </c>
    </row>
    <row r="19" spans="2:7" x14ac:dyDescent="0.25">
      <c r="B19" s="42">
        <v>16.7041</v>
      </c>
      <c r="C19" s="43">
        <v>1.8</v>
      </c>
      <c r="D19" s="45">
        <f t="shared" si="0"/>
        <v>30.06738</v>
      </c>
    </row>
    <row r="20" spans="2:7" x14ac:dyDescent="0.25">
      <c r="B20" s="45">
        <f>SUM(B11:B19)</f>
        <v>496.20250000000004</v>
      </c>
      <c r="D20" s="45">
        <f>SUM(D11:D19)</f>
        <v>893.16450000000009</v>
      </c>
    </row>
    <row r="22" spans="2:7" ht="15.75" x14ac:dyDescent="0.25">
      <c r="B22" s="232" t="s">
        <v>1006</v>
      </c>
      <c r="C22" s="233"/>
      <c r="D22" s="233"/>
      <c r="E22" s="233"/>
      <c r="F22" s="234"/>
    </row>
    <row r="23" spans="2:7" x14ac:dyDescent="0.25">
      <c r="B23" s="38" t="s">
        <v>991</v>
      </c>
      <c r="C23" s="39" t="s">
        <v>992</v>
      </c>
      <c r="D23" s="38" t="s">
        <v>996</v>
      </c>
      <c r="E23" s="38" t="s">
        <v>1005</v>
      </c>
      <c r="F23" s="38" t="s">
        <v>994</v>
      </c>
      <c r="G23" s="41" t="s">
        <v>990</v>
      </c>
    </row>
    <row r="24" spans="2:7" x14ac:dyDescent="0.25">
      <c r="B24" s="42">
        <v>30.2</v>
      </c>
      <c r="C24" s="43">
        <v>19.3</v>
      </c>
      <c r="D24" s="44">
        <f>(B24+B24+C24+C24)</f>
        <v>99</v>
      </c>
      <c r="E24" s="100">
        <v>0.2</v>
      </c>
      <c r="F24" s="100">
        <v>5</v>
      </c>
      <c r="G24" s="45">
        <f>D24*E24*F24</f>
        <v>99</v>
      </c>
    </row>
    <row r="26" spans="2:7" ht="15.75" x14ac:dyDescent="0.25">
      <c r="B26" s="242" t="s">
        <v>1028</v>
      </c>
      <c r="C26" s="243"/>
      <c r="D26" s="243"/>
      <c r="E26" s="243"/>
    </row>
    <row r="27" spans="2:7" x14ac:dyDescent="0.25">
      <c r="B27" s="38" t="s">
        <v>1009</v>
      </c>
      <c r="C27" s="38" t="s">
        <v>1029</v>
      </c>
      <c r="D27" s="38" t="s">
        <v>994</v>
      </c>
      <c r="E27" s="38" t="s">
        <v>1026</v>
      </c>
    </row>
    <row r="28" spans="2:7" x14ac:dyDescent="0.25">
      <c r="B28" s="103">
        <f>B24*C24</f>
        <v>582.86</v>
      </c>
      <c r="C28" s="42">
        <v>1.48</v>
      </c>
      <c r="D28" s="42">
        <v>5</v>
      </c>
      <c r="E28" s="98">
        <f>C28*B28*D28</f>
        <v>4313.1639999999998</v>
      </c>
    </row>
    <row r="29" spans="2:7" x14ac:dyDescent="0.25">
      <c r="B29" s="142"/>
      <c r="C29" s="143"/>
      <c r="D29" s="143"/>
      <c r="E29" s="115"/>
    </row>
    <row r="30" spans="2:7" ht="15.75" x14ac:dyDescent="0.25">
      <c r="B30" s="232" t="s">
        <v>1579</v>
      </c>
      <c r="C30" s="233"/>
      <c r="D30" s="233"/>
      <c r="E30" s="233"/>
      <c r="F30" s="234"/>
    </row>
    <row r="31" spans="2:7" x14ac:dyDescent="0.25">
      <c r="B31" s="38" t="s">
        <v>991</v>
      </c>
      <c r="C31" s="39" t="s">
        <v>992</v>
      </c>
      <c r="D31" s="38" t="s">
        <v>1578</v>
      </c>
      <c r="E31" s="38" t="s">
        <v>1005</v>
      </c>
      <c r="F31" s="38" t="s">
        <v>994</v>
      </c>
      <c r="G31" s="41" t="s">
        <v>990</v>
      </c>
    </row>
    <row r="32" spans="2:7" x14ac:dyDescent="0.25">
      <c r="B32" s="42">
        <v>30.2</v>
      </c>
      <c r="C32" s="43">
        <v>19.3</v>
      </c>
      <c r="D32" s="44">
        <f>B32*C32</f>
        <v>582.86</v>
      </c>
      <c r="E32" s="100">
        <v>0.2</v>
      </c>
      <c r="F32" s="100">
        <v>5</v>
      </c>
      <c r="G32" s="45">
        <f>D32*E32*F32</f>
        <v>582.86</v>
      </c>
    </row>
    <row r="33" spans="1:6" x14ac:dyDescent="0.25">
      <c r="B33" s="142"/>
      <c r="C33" s="143"/>
      <c r="D33" s="143"/>
      <c r="E33" s="115"/>
    </row>
    <row r="35" spans="1:6" ht="15.75" customHeight="1" x14ac:dyDescent="0.25">
      <c r="B35" s="235" t="s">
        <v>1008</v>
      </c>
      <c r="C35" s="236"/>
      <c r="D35" s="236"/>
      <c r="E35" s="236"/>
      <c r="F35" s="236"/>
    </row>
    <row r="36" spans="1:6" ht="28.5" customHeight="1" x14ac:dyDescent="0.25">
      <c r="B36" s="38" t="s">
        <v>1012</v>
      </c>
      <c r="C36" s="39" t="s">
        <v>1586</v>
      </c>
      <c r="D36" s="39" t="s">
        <v>1010</v>
      </c>
      <c r="E36" s="38" t="s">
        <v>1011</v>
      </c>
      <c r="F36" s="41" t="s">
        <v>990</v>
      </c>
    </row>
    <row r="37" spans="1:6" x14ac:dyDescent="0.25">
      <c r="A37" t="s">
        <v>1580</v>
      </c>
      <c r="B37" s="42">
        <v>77.39</v>
      </c>
      <c r="C37" s="43">
        <f>C47</f>
        <v>25.8</v>
      </c>
      <c r="D37" s="43">
        <v>5</v>
      </c>
      <c r="E37" s="44">
        <v>10</v>
      </c>
      <c r="F37" s="45">
        <f>(B37+C37)*D37*E37*0.1</f>
        <v>515.95000000000005</v>
      </c>
    </row>
    <row r="38" spans="1:6" x14ac:dyDescent="0.25">
      <c r="A38" t="s">
        <v>1013</v>
      </c>
      <c r="B38" s="42">
        <v>185.148</v>
      </c>
      <c r="C38" s="43">
        <f>B47</f>
        <v>2.9543999999999997</v>
      </c>
      <c r="D38" s="43">
        <v>5</v>
      </c>
      <c r="E38" s="44">
        <v>10</v>
      </c>
      <c r="F38" s="45">
        <f>((B38-C38)*D38*E38)</f>
        <v>9109.68</v>
      </c>
    </row>
    <row r="39" spans="1:6" x14ac:dyDescent="0.25">
      <c r="F39" s="45">
        <f>SUM(F37:F38)</f>
        <v>9625.630000000001</v>
      </c>
    </row>
    <row r="41" spans="1:6" ht="15.75" x14ac:dyDescent="0.25">
      <c r="B41" s="235" t="s">
        <v>1581</v>
      </c>
      <c r="C41" s="236"/>
      <c r="D41" s="236"/>
      <c r="E41" s="236"/>
      <c r="F41" s="236"/>
    </row>
    <row r="42" spans="1:6" x14ac:dyDescent="0.25">
      <c r="B42" s="38" t="s">
        <v>1578</v>
      </c>
      <c r="C42" s="39" t="s">
        <v>996</v>
      </c>
    </row>
    <row r="43" spans="1:6" x14ac:dyDescent="0.25">
      <c r="A43" t="s">
        <v>1582</v>
      </c>
      <c r="B43" s="42">
        <v>1.68</v>
      </c>
      <c r="C43" s="43">
        <v>6.2</v>
      </c>
    </row>
    <row r="44" spans="1:6" x14ac:dyDescent="0.25">
      <c r="A44" t="s">
        <v>1583</v>
      </c>
      <c r="B44" s="42">
        <f>4*0.1136</f>
        <v>0.45440000000000003</v>
      </c>
      <c r="C44" s="43">
        <f>4*1.8</f>
        <v>7.2</v>
      </c>
    </row>
    <row r="45" spans="1:6" x14ac:dyDescent="0.25">
      <c r="A45" t="s">
        <v>1584</v>
      </c>
      <c r="B45" s="42">
        <f>4*0.1</f>
        <v>0.4</v>
      </c>
      <c r="C45" s="43">
        <f>4*1.4</f>
        <v>5.6</v>
      </c>
    </row>
    <row r="46" spans="1:6" x14ac:dyDescent="0.25">
      <c r="A46" t="s">
        <v>1585</v>
      </c>
      <c r="B46" s="42">
        <f>4*0.105</f>
        <v>0.42</v>
      </c>
      <c r="C46" s="43">
        <f>4*1.7</f>
        <v>6.8</v>
      </c>
    </row>
    <row r="47" spans="1:6" x14ac:dyDescent="0.25">
      <c r="B47" s="44">
        <f>SUM(B43:B46)</f>
        <v>2.9543999999999997</v>
      </c>
      <c r="C47" s="44">
        <f>SUM(C43:C46)</f>
        <v>25.8</v>
      </c>
    </row>
    <row r="50" spans="1:6" ht="15.75" x14ac:dyDescent="0.25">
      <c r="B50" s="235" t="s">
        <v>1023</v>
      </c>
      <c r="C50" s="236"/>
      <c r="D50" s="236"/>
      <c r="E50" s="236"/>
      <c r="F50" s="236"/>
    </row>
    <row r="51" spans="1:6" ht="30" x14ac:dyDescent="0.25">
      <c r="B51" s="38" t="s">
        <v>1009</v>
      </c>
      <c r="C51" s="38" t="s">
        <v>1024</v>
      </c>
      <c r="D51" s="105" t="s">
        <v>1026</v>
      </c>
      <c r="E51" s="104" t="s">
        <v>1025</v>
      </c>
      <c r="F51" s="38" t="s">
        <v>1026</v>
      </c>
    </row>
    <row r="52" spans="1:6" x14ac:dyDescent="0.25">
      <c r="B52" s="103">
        <f>F38</f>
        <v>9109.68</v>
      </c>
      <c r="C52" s="42">
        <v>2.11</v>
      </c>
      <c r="D52" s="98">
        <f>B52*C52</f>
        <v>19221.424800000001</v>
      </c>
      <c r="E52" s="44">
        <v>1.8</v>
      </c>
      <c r="F52" s="98">
        <f>B52*E52</f>
        <v>16397.424000000003</v>
      </c>
    </row>
    <row r="54" spans="1:6" ht="15.75" x14ac:dyDescent="0.25">
      <c r="B54" s="235" t="s">
        <v>1014</v>
      </c>
      <c r="C54" s="236"/>
      <c r="D54" s="236"/>
      <c r="E54" s="236"/>
      <c r="F54" s="236"/>
    </row>
    <row r="55" spans="1:6" ht="30" x14ac:dyDescent="0.25">
      <c r="B55" s="38" t="s">
        <v>1009</v>
      </c>
      <c r="C55" s="38" t="s">
        <v>1015</v>
      </c>
      <c r="D55" s="39" t="s">
        <v>1010</v>
      </c>
      <c r="E55" s="38" t="s">
        <v>1011</v>
      </c>
      <c r="F55" s="41" t="s">
        <v>990</v>
      </c>
    </row>
    <row r="56" spans="1:6" x14ac:dyDescent="0.25">
      <c r="B56" s="42">
        <f>B38-C38</f>
        <v>182.1936</v>
      </c>
      <c r="C56" s="42">
        <v>0.1</v>
      </c>
      <c r="D56" s="43">
        <v>5</v>
      </c>
      <c r="E56" s="44">
        <v>10</v>
      </c>
      <c r="F56" s="45">
        <f>E56*D56*B56*C56</f>
        <v>910.96800000000007</v>
      </c>
    </row>
    <row r="59" spans="1:6" ht="15.75" x14ac:dyDescent="0.25">
      <c r="B59" s="235" t="s">
        <v>1016</v>
      </c>
      <c r="C59" s="236"/>
      <c r="D59" s="236"/>
      <c r="E59" s="236"/>
      <c r="F59" s="236"/>
    </row>
    <row r="60" spans="1:6" ht="30" x14ac:dyDescent="0.25">
      <c r="B60" s="38" t="s">
        <v>996</v>
      </c>
      <c r="C60" s="39" t="s">
        <v>1005</v>
      </c>
      <c r="D60" s="39" t="s">
        <v>1010</v>
      </c>
      <c r="E60" s="38" t="s">
        <v>1011</v>
      </c>
      <c r="F60" s="41" t="s">
        <v>990</v>
      </c>
    </row>
    <row r="61" spans="1:6" x14ac:dyDescent="0.25">
      <c r="B61" s="42">
        <v>77.400000000000006</v>
      </c>
      <c r="C61" s="43">
        <v>2.6</v>
      </c>
      <c r="D61" s="43">
        <v>5</v>
      </c>
      <c r="E61" s="44">
        <v>10</v>
      </c>
      <c r="F61" s="45">
        <f>E61*C61*B61*D61</f>
        <v>10062</v>
      </c>
    </row>
    <row r="62" spans="1:6" x14ac:dyDescent="0.25">
      <c r="A62" t="s">
        <v>1017</v>
      </c>
      <c r="B62" s="42"/>
      <c r="C62" s="43"/>
      <c r="D62" s="43">
        <v>5</v>
      </c>
      <c r="E62" s="44">
        <v>10</v>
      </c>
      <c r="F62" s="45">
        <f>E62*C62*B62</f>
        <v>0</v>
      </c>
    </row>
    <row r="66" spans="1:6" ht="15.75" x14ac:dyDescent="0.25">
      <c r="B66" s="235" t="s">
        <v>1018</v>
      </c>
      <c r="C66" s="236"/>
      <c r="D66" s="236"/>
      <c r="E66" s="236"/>
      <c r="F66" s="236"/>
    </row>
    <row r="67" spans="1:6" ht="30" x14ac:dyDescent="0.25">
      <c r="B67" s="38" t="s">
        <v>996</v>
      </c>
      <c r="C67" s="39" t="s">
        <v>1005</v>
      </c>
      <c r="D67" s="39" t="s">
        <v>1010</v>
      </c>
      <c r="E67" s="38" t="s">
        <v>1011</v>
      </c>
      <c r="F67" s="41" t="s">
        <v>990</v>
      </c>
    </row>
    <row r="68" spans="1:6" x14ac:dyDescent="0.25">
      <c r="A68" t="s">
        <v>1019</v>
      </c>
      <c r="B68" s="42">
        <f>77.4+(2*4.8)</f>
        <v>87</v>
      </c>
      <c r="C68" s="43">
        <v>1.2</v>
      </c>
      <c r="D68" s="43">
        <v>1</v>
      </c>
      <c r="E68" s="44">
        <v>10</v>
      </c>
      <c r="F68" s="45">
        <f>E68*C68*B68*D68</f>
        <v>1044</v>
      </c>
    </row>
    <row r="69" spans="1:6" x14ac:dyDescent="0.25">
      <c r="A69" t="s">
        <v>1020</v>
      </c>
      <c r="B69" s="42">
        <f>76.6+(2*4.6)</f>
        <v>85.8</v>
      </c>
      <c r="C69" s="43">
        <v>1.2</v>
      </c>
      <c r="D69" s="43">
        <v>1</v>
      </c>
      <c r="E69" s="44">
        <v>10</v>
      </c>
      <c r="F69" s="45">
        <f>E69*C69*B69*D69</f>
        <v>1029.5999999999999</v>
      </c>
    </row>
    <row r="70" spans="1:6" x14ac:dyDescent="0.25">
      <c r="F70" s="41">
        <f>SUM(F68:F69)</f>
        <v>2073.6</v>
      </c>
    </row>
    <row r="72" spans="1:6" ht="15.75" x14ac:dyDescent="0.25">
      <c r="B72" s="235" t="s">
        <v>1021</v>
      </c>
      <c r="C72" s="236"/>
      <c r="D72" s="236"/>
      <c r="E72" s="236"/>
      <c r="F72" s="236"/>
    </row>
    <row r="73" spans="1:6" x14ac:dyDescent="0.25">
      <c r="B73" s="38" t="s">
        <v>996</v>
      </c>
      <c r="C73" s="39" t="s">
        <v>1005</v>
      </c>
      <c r="D73" s="39" t="s">
        <v>1022</v>
      </c>
      <c r="E73" s="38" t="s">
        <v>1011</v>
      </c>
      <c r="F73" s="41" t="s">
        <v>990</v>
      </c>
    </row>
    <row r="74" spans="1:6" x14ac:dyDescent="0.25">
      <c r="A74" t="s">
        <v>1019</v>
      </c>
      <c r="B74" s="42">
        <f>77.4+(2*4.8)</f>
        <v>87</v>
      </c>
      <c r="C74" s="43">
        <v>1.2</v>
      </c>
      <c r="D74" s="43">
        <v>0.1</v>
      </c>
      <c r="E74" s="44">
        <v>10</v>
      </c>
      <c r="F74" s="45">
        <f>E74*C74*B74*D74</f>
        <v>104.4</v>
      </c>
    </row>
    <row r="76" spans="1:6" ht="15.75" x14ac:dyDescent="0.25">
      <c r="B76" s="242" t="s">
        <v>1030</v>
      </c>
      <c r="C76" s="243"/>
      <c r="D76" s="243"/>
      <c r="E76" s="243"/>
    </row>
    <row r="77" spans="1:6" x14ac:dyDescent="0.25">
      <c r="B77" s="38" t="s">
        <v>1009</v>
      </c>
      <c r="C77" s="38" t="s">
        <v>1029</v>
      </c>
      <c r="D77" s="38" t="s">
        <v>994</v>
      </c>
      <c r="E77" s="38" t="s">
        <v>1026</v>
      </c>
    </row>
    <row r="78" spans="1:6" x14ac:dyDescent="0.25">
      <c r="B78" s="103">
        <f>B74*C74</f>
        <v>104.39999999999999</v>
      </c>
      <c r="C78" s="42">
        <v>1.48</v>
      </c>
      <c r="D78" s="42">
        <v>10</v>
      </c>
      <c r="E78" s="98">
        <f>C78*B78*D78</f>
        <v>1545.1199999999997</v>
      </c>
    </row>
    <row r="80" spans="1:6" ht="15.75" x14ac:dyDescent="0.25">
      <c r="B80" s="235" t="s">
        <v>1031</v>
      </c>
      <c r="C80" s="236"/>
      <c r="D80" s="236"/>
      <c r="E80" s="236"/>
    </row>
    <row r="81" spans="2:7" x14ac:dyDescent="0.25">
      <c r="B81" s="38" t="s">
        <v>1009</v>
      </c>
      <c r="C81" s="39" t="s">
        <v>1004</v>
      </c>
      <c r="D81" s="39" t="s">
        <v>1036</v>
      </c>
      <c r="E81" s="38" t="s">
        <v>1035</v>
      </c>
    </row>
    <row r="82" spans="2:7" x14ac:dyDescent="0.25">
      <c r="B82" s="106" t="s">
        <v>1034</v>
      </c>
      <c r="C82" s="43">
        <v>12.9</v>
      </c>
      <c r="D82" s="43">
        <v>5.95</v>
      </c>
      <c r="E82" s="98">
        <f>C82*D82</f>
        <v>76.75500000000001</v>
      </c>
    </row>
    <row r="83" spans="2:7" x14ac:dyDescent="0.25">
      <c r="B83" s="106" t="s">
        <v>1032</v>
      </c>
      <c r="C83" s="43">
        <v>4.5999999999999996</v>
      </c>
      <c r="D83" s="43">
        <v>5</v>
      </c>
      <c r="E83" s="98">
        <f>C83*D83</f>
        <v>23</v>
      </c>
    </row>
    <row r="84" spans="2:7" x14ac:dyDescent="0.25">
      <c r="B84" s="106" t="s">
        <v>1033</v>
      </c>
      <c r="C84" s="43">
        <v>12.9</v>
      </c>
      <c r="D84" s="43">
        <v>5.95</v>
      </c>
      <c r="E84" s="98">
        <f>C84*D84</f>
        <v>76.75500000000001</v>
      </c>
    </row>
    <row r="85" spans="2:7" x14ac:dyDescent="0.25">
      <c r="B85" s="106" t="s">
        <v>1087</v>
      </c>
      <c r="C85" s="43">
        <v>1.5</v>
      </c>
      <c r="D85" s="43">
        <v>1.5</v>
      </c>
      <c r="E85" s="98">
        <f>C85*D85</f>
        <v>2.25</v>
      </c>
    </row>
    <row r="86" spans="2:7" x14ac:dyDescent="0.25">
      <c r="E86" s="98">
        <f>10*SUM(E82:E85)</f>
        <v>1787.6000000000001</v>
      </c>
    </row>
    <row r="88" spans="2:7" ht="15.75" x14ac:dyDescent="0.25">
      <c r="B88" s="235" t="s">
        <v>1037</v>
      </c>
      <c r="C88" s="236"/>
      <c r="D88" s="236"/>
      <c r="E88" s="236"/>
      <c r="F88" s="236"/>
      <c r="G88" s="236"/>
    </row>
    <row r="89" spans="2:7" ht="30" x14ac:dyDescent="0.25">
      <c r="B89" s="38"/>
      <c r="C89" s="39" t="s">
        <v>1004</v>
      </c>
      <c r="D89" s="39" t="s">
        <v>1635</v>
      </c>
      <c r="E89" s="39" t="s">
        <v>1039</v>
      </c>
      <c r="F89" s="39" t="s">
        <v>1038</v>
      </c>
      <c r="G89" s="38" t="s">
        <v>1035</v>
      </c>
    </row>
    <row r="90" spans="2:7" x14ac:dyDescent="0.25">
      <c r="B90" s="106" t="s">
        <v>1034</v>
      </c>
      <c r="C90" s="43">
        <v>2.9</v>
      </c>
      <c r="D90" s="43">
        <v>2.95</v>
      </c>
      <c r="E90" s="43">
        <v>8</v>
      </c>
      <c r="F90" s="43">
        <v>10</v>
      </c>
      <c r="G90" s="98">
        <f>D90*E90*F90</f>
        <v>236</v>
      </c>
    </row>
    <row r="91" spans="2:7" x14ac:dyDescent="0.25">
      <c r="B91" s="106" t="s">
        <v>1032</v>
      </c>
      <c r="C91" s="43">
        <v>4.45</v>
      </c>
      <c r="D91" s="43">
        <v>4.5199999999999996</v>
      </c>
      <c r="E91" s="43">
        <v>2</v>
      </c>
      <c r="F91" s="43">
        <v>10</v>
      </c>
      <c r="G91" s="98">
        <f>D91*E91*F91</f>
        <v>90.399999999999991</v>
      </c>
    </row>
    <row r="92" spans="2:7" x14ac:dyDescent="0.25">
      <c r="F92" s="248">
        <f>SUM(G90:G91)</f>
        <v>326.39999999999998</v>
      </c>
      <c r="G92" s="249"/>
    </row>
    <row r="94" spans="2:7" ht="15.75" x14ac:dyDescent="0.25">
      <c r="B94" s="235" t="s">
        <v>1040</v>
      </c>
      <c r="C94" s="236"/>
      <c r="D94" s="236"/>
      <c r="E94" s="236"/>
      <c r="F94" s="236"/>
    </row>
    <row r="95" spans="2:7" ht="30" x14ac:dyDescent="0.25">
      <c r="B95" s="38"/>
      <c r="C95" s="39" t="s">
        <v>1004</v>
      </c>
      <c r="D95" s="39" t="s">
        <v>1039</v>
      </c>
      <c r="E95" s="39" t="s">
        <v>1038</v>
      </c>
      <c r="F95" s="38" t="s">
        <v>1035</v>
      </c>
    </row>
    <row r="96" spans="2:7" x14ac:dyDescent="0.25">
      <c r="B96" s="106" t="s">
        <v>1034</v>
      </c>
      <c r="C96" s="43">
        <v>12.9</v>
      </c>
      <c r="D96" s="43">
        <v>2</v>
      </c>
      <c r="E96" s="43">
        <v>10</v>
      </c>
      <c r="F96" s="98">
        <f>C96*D96*E96</f>
        <v>258</v>
      </c>
    </row>
    <row r="97" spans="2:6" x14ac:dyDescent="0.25">
      <c r="B97" s="106" t="s">
        <v>1032</v>
      </c>
      <c r="C97" s="43">
        <v>5</v>
      </c>
      <c r="D97" s="43">
        <v>1</v>
      </c>
      <c r="E97" s="43">
        <v>10</v>
      </c>
      <c r="F97" s="98">
        <f>C97*D97*E97</f>
        <v>50</v>
      </c>
    </row>
    <row r="98" spans="2:6" x14ac:dyDescent="0.25">
      <c r="F98" s="98">
        <f>SUM(F96:F97)</f>
        <v>308</v>
      </c>
    </row>
    <row r="101" spans="2:6" ht="15.75" x14ac:dyDescent="0.25">
      <c r="B101" s="232" t="s">
        <v>1041</v>
      </c>
      <c r="C101" s="233"/>
      <c r="D101" s="233"/>
      <c r="E101" s="233"/>
    </row>
    <row r="102" spans="2:6" x14ac:dyDescent="0.25">
      <c r="B102" s="38" t="s">
        <v>991</v>
      </c>
      <c r="C102" s="39" t="s">
        <v>992</v>
      </c>
      <c r="D102" s="38" t="s">
        <v>994</v>
      </c>
      <c r="E102" s="41" t="s">
        <v>990</v>
      </c>
    </row>
    <row r="103" spans="2:6" x14ac:dyDescent="0.25">
      <c r="B103" s="42">
        <v>30.2</v>
      </c>
      <c r="C103" s="43">
        <v>19.3</v>
      </c>
      <c r="D103" s="38">
        <v>5</v>
      </c>
      <c r="E103" s="45">
        <f>B103*C103*D103</f>
        <v>2914.3</v>
      </c>
    </row>
    <row r="104" spans="2:6" x14ac:dyDescent="0.25">
      <c r="B104" s="143"/>
      <c r="C104" s="60"/>
    </row>
    <row r="105" spans="2:6" ht="15.75" x14ac:dyDescent="0.25">
      <c r="B105" s="235" t="s">
        <v>1587</v>
      </c>
      <c r="C105" s="236"/>
      <c r="D105" s="236"/>
      <c r="E105" s="236"/>
      <c r="F105" s="236"/>
    </row>
    <row r="106" spans="2:6" x14ac:dyDescent="0.25">
      <c r="B106" s="38" t="s">
        <v>1009</v>
      </c>
      <c r="C106" s="39" t="s">
        <v>1096</v>
      </c>
      <c r="D106" s="39" t="s">
        <v>1599</v>
      </c>
      <c r="E106" s="39" t="s">
        <v>1048</v>
      </c>
      <c r="F106" s="38" t="s">
        <v>1035</v>
      </c>
    </row>
    <row r="107" spans="2:6" ht="30" x14ac:dyDescent="0.25">
      <c r="B107" s="74" t="s">
        <v>1588</v>
      </c>
      <c r="C107" s="43">
        <f>4*(0.1+3.1+0.1+2.75+0.1)</f>
        <v>24.6</v>
      </c>
      <c r="D107" s="43">
        <v>2.6</v>
      </c>
      <c r="E107" s="43">
        <f>5*10</f>
        <v>50</v>
      </c>
      <c r="F107" s="98">
        <f>C107*D107*E107</f>
        <v>3198.0000000000005</v>
      </c>
    </row>
    <row r="108" spans="2:6" ht="30" x14ac:dyDescent="0.25">
      <c r="B108" s="74" t="s">
        <v>1589</v>
      </c>
      <c r="C108" s="43">
        <f>4*(3.1+2.75)</f>
        <v>23.4</v>
      </c>
      <c r="D108" s="43">
        <v>2.6</v>
      </c>
      <c r="E108" s="43">
        <v>50</v>
      </c>
      <c r="F108" s="98">
        <f>C108*D108*E108</f>
        <v>3042</v>
      </c>
    </row>
    <row r="109" spans="2:6" x14ac:dyDescent="0.25">
      <c r="B109" s="74" t="s">
        <v>1590</v>
      </c>
      <c r="C109" s="43">
        <v>5</v>
      </c>
      <c r="D109" s="43">
        <v>2.6</v>
      </c>
      <c r="E109" s="43">
        <v>40</v>
      </c>
      <c r="F109" s="98">
        <f>C109*D109*E109</f>
        <v>520</v>
      </c>
    </row>
    <row r="110" spans="2:6" x14ac:dyDescent="0.25">
      <c r="B110" s="74" t="s">
        <v>1591</v>
      </c>
      <c r="C110" s="43">
        <v>5</v>
      </c>
      <c r="D110" s="43">
        <v>2.6</v>
      </c>
      <c r="E110" s="43">
        <v>40</v>
      </c>
      <c r="F110" s="98">
        <f>C110*D110*E110</f>
        <v>520</v>
      </c>
    </row>
    <row r="111" spans="2:6" x14ac:dyDescent="0.25">
      <c r="F111" s="98">
        <f>SUM(F107:F110)</f>
        <v>7280</v>
      </c>
    </row>
    <row r="112" spans="2:6" ht="15" customHeight="1" x14ac:dyDescent="0.25"/>
    <row r="113" spans="2:11" ht="15.75" customHeight="1" x14ac:dyDescent="0.25">
      <c r="B113" s="235" t="s">
        <v>1592</v>
      </c>
      <c r="C113" s="236"/>
      <c r="D113" s="236"/>
      <c r="E113" s="236"/>
      <c r="F113" s="236"/>
      <c r="G113" s="236"/>
      <c r="H113" s="236"/>
      <c r="I113" s="236"/>
    </row>
    <row r="114" spans="2:11" x14ac:dyDescent="0.25">
      <c r="B114" s="38" t="s">
        <v>1009</v>
      </c>
      <c r="C114" s="39" t="s">
        <v>1004</v>
      </c>
      <c r="D114" s="39" t="s">
        <v>1005</v>
      </c>
      <c r="E114" s="39" t="s">
        <v>1602</v>
      </c>
      <c r="F114" s="39" t="s">
        <v>1600</v>
      </c>
      <c r="G114" s="39" t="s">
        <v>1601</v>
      </c>
      <c r="H114" s="39" t="s">
        <v>1048</v>
      </c>
      <c r="I114" s="38" t="s">
        <v>1035</v>
      </c>
    </row>
    <row r="115" spans="2:11" x14ac:dyDescent="0.25">
      <c r="B115" s="74" t="s">
        <v>1593</v>
      </c>
      <c r="C115" s="43">
        <v>13.1</v>
      </c>
      <c r="D115" s="43">
        <v>2.6</v>
      </c>
      <c r="E115" s="43">
        <f>C115*D115</f>
        <v>34.06</v>
      </c>
      <c r="F115" s="43">
        <f>(2*C132)+(4*C134)</f>
        <v>7.04</v>
      </c>
      <c r="G115" s="43">
        <f>E115-F115</f>
        <v>27.020000000000003</v>
      </c>
      <c r="H115" s="43">
        <f>2*5*10</f>
        <v>100</v>
      </c>
      <c r="I115" s="98">
        <f>G115*H115</f>
        <v>2702.0000000000005</v>
      </c>
      <c r="K115" s="98">
        <v>2702.0000000000005</v>
      </c>
    </row>
    <row r="116" spans="2:11" x14ac:dyDescent="0.25">
      <c r="B116" s="74" t="s">
        <v>1594</v>
      </c>
      <c r="C116" s="43">
        <f>(2.4+1.25+2.55+2.55+1.25+2.4)</f>
        <v>12.4</v>
      </c>
      <c r="D116" s="43">
        <v>2.6</v>
      </c>
      <c r="E116" s="43">
        <f>C116*D116</f>
        <v>32.24</v>
      </c>
      <c r="F116" s="43">
        <f>(2*C132)+(4*C134)</f>
        <v>7.04</v>
      </c>
      <c r="G116" s="43">
        <f>E116-F116</f>
        <v>25.200000000000003</v>
      </c>
      <c r="H116" s="43">
        <f>2*5*10</f>
        <v>100</v>
      </c>
      <c r="I116" s="98">
        <f t="shared" ref="I116:I126" si="1">G116*H116</f>
        <v>2520.0000000000005</v>
      </c>
      <c r="K116" s="98"/>
    </row>
    <row r="117" spans="2:11" x14ac:dyDescent="0.25">
      <c r="B117" s="74" t="s">
        <v>1595</v>
      </c>
      <c r="C117" s="43">
        <v>3.4</v>
      </c>
      <c r="D117" s="43">
        <v>2.6</v>
      </c>
      <c r="E117" s="43">
        <f t="shared" ref="E117:E126" si="2">C117*D117</f>
        <v>8.84</v>
      </c>
      <c r="F117" s="43">
        <f>C133+C135</f>
        <v>3.2</v>
      </c>
      <c r="G117" s="43">
        <f t="shared" ref="G117:G126" si="3">E117-F117</f>
        <v>5.64</v>
      </c>
      <c r="H117" s="43">
        <f>2*5*10</f>
        <v>100</v>
      </c>
      <c r="I117" s="98">
        <f t="shared" si="1"/>
        <v>564</v>
      </c>
      <c r="K117" s="98">
        <v>564</v>
      </c>
    </row>
    <row r="118" spans="2:11" x14ac:dyDescent="0.25">
      <c r="B118" s="74" t="s">
        <v>1596</v>
      </c>
      <c r="C118" s="43">
        <f>1+2.1</f>
        <v>3.1</v>
      </c>
      <c r="D118" s="43">
        <v>2.6</v>
      </c>
      <c r="E118" s="43">
        <f t="shared" si="2"/>
        <v>8.06</v>
      </c>
      <c r="F118" s="43">
        <f>C133+C135</f>
        <v>3.2</v>
      </c>
      <c r="G118" s="43">
        <f t="shared" si="3"/>
        <v>4.8600000000000003</v>
      </c>
      <c r="H118" s="43">
        <f>2*5*10</f>
        <v>100</v>
      </c>
      <c r="I118" s="98">
        <f t="shared" si="1"/>
        <v>486.00000000000006</v>
      </c>
      <c r="K118" s="98"/>
    </row>
    <row r="119" spans="2:11" ht="30" x14ac:dyDescent="0.25">
      <c r="B119" s="74" t="s">
        <v>1597</v>
      </c>
      <c r="C119" s="43">
        <v>4.9000000000000004</v>
      </c>
      <c r="D119" s="43">
        <v>2.6</v>
      </c>
      <c r="E119" s="43">
        <f t="shared" si="2"/>
        <v>12.740000000000002</v>
      </c>
      <c r="F119" s="43">
        <f>C133+C135</f>
        <v>3.2</v>
      </c>
      <c r="G119" s="43">
        <f t="shared" si="3"/>
        <v>9.5400000000000027</v>
      </c>
      <c r="H119" s="43">
        <f t="shared" ref="H119:H120" si="4">2*5*10</f>
        <v>100</v>
      </c>
      <c r="I119" s="98">
        <f t="shared" si="1"/>
        <v>954.00000000000023</v>
      </c>
      <c r="K119" s="98">
        <v>954.00000000000023</v>
      </c>
    </row>
    <row r="120" spans="2:11" x14ac:dyDescent="0.25">
      <c r="B120" s="74" t="s">
        <v>1598</v>
      </c>
      <c r="C120" s="43">
        <v>4.7</v>
      </c>
      <c r="D120" s="43">
        <v>2.6</v>
      </c>
      <c r="E120" s="43">
        <f t="shared" si="2"/>
        <v>12.22</v>
      </c>
      <c r="F120" s="43">
        <f>C133+C135</f>
        <v>3.2</v>
      </c>
      <c r="G120" s="43">
        <f t="shared" si="3"/>
        <v>9.02</v>
      </c>
      <c r="H120" s="43">
        <f t="shared" si="4"/>
        <v>100</v>
      </c>
      <c r="I120" s="98">
        <f t="shared" si="1"/>
        <v>902</v>
      </c>
      <c r="K120" s="98"/>
    </row>
    <row r="121" spans="2:11" ht="30" x14ac:dyDescent="0.25">
      <c r="B121" s="74" t="s">
        <v>1603</v>
      </c>
      <c r="C121" s="43">
        <v>5</v>
      </c>
      <c r="D121" s="43">
        <v>2.6</v>
      </c>
      <c r="E121" s="43">
        <f>C121*D121</f>
        <v>13</v>
      </c>
      <c r="F121" s="43">
        <f>C136+C132</f>
        <v>2.2149999999999999</v>
      </c>
      <c r="G121" s="43">
        <f t="shared" si="3"/>
        <v>10.785</v>
      </c>
      <c r="H121" s="43">
        <v>10</v>
      </c>
      <c r="I121" s="98">
        <f t="shared" si="1"/>
        <v>107.85</v>
      </c>
      <c r="K121" s="98">
        <v>107.85</v>
      </c>
    </row>
    <row r="122" spans="2:11" ht="30" x14ac:dyDescent="0.25">
      <c r="B122" s="74" t="s">
        <v>1604</v>
      </c>
      <c r="C122" s="43">
        <v>5</v>
      </c>
      <c r="D122" s="43">
        <v>2.6</v>
      </c>
      <c r="E122" s="43">
        <f t="shared" si="2"/>
        <v>13</v>
      </c>
      <c r="F122" s="43">
        <f>2*C132</f>
        <v>1.28</v>
      </c>
      <c r="G122" s="43">
        <f t="shared" si="3"/>
        <v>11.72</v>
      </c>
      <c r="H122" s="43">
        <f>10*4</f>
        <v>40</v>
      </c>
      <c r="I122" s="98">
        <f t="shared" si="1"/>
        <v>468.8</v>
      </c>
      <c r="K122" s="98">
        <v>468.8</v>
      </c>
    </row>
    <row r="123" spans="2:11" ht="30" x14ac:dyDescent="0.25">
      <c r="B123" s="74" t="s">
        <v>1605</v>
      </c>
      <c r="C123" s="43">
        <v>5</v>
      </c>
      <c r="D123" s="43">
        <v>2.6</v>
      </c>
      <c r="E123" s="43">
        <f>C123*D123</f>
        <v>13</v>
      </c>
      <c r="F123" s="43">
        <f>C136+C132</f>
        <v>2.2149999999999999</v>
      </c>
      <c r="G123" s="43">
        <f t="shared" ref="G123:G124" si="5">E123-F123</f>
        <v>10.785</v>
      </c>
      <c r="H123" s="43">
        <v>10</v>
      </c>
      <c r="I123" s="98">
        <f t="shared" si="1"/>
        <v>107.85</v>
      </c>
      <c r="K123" s="98"/>
    </row>
    <row r="124" spans="2:11" ht="30" x14ac:dyDescent="0.25">
      <c r="B124" s="74" t="s">
        <v>1606</v>
      </c>
      <c r="C124" s="43">
        <v>5</v>
      </c>
      <c r="D124" s="43">
        <v>2.6</v>
      </c>
      <c r="E124" s="43">
        <f t="shared" ref="E124" si="6">C124*D124</f>
        <v>13</v>
      </c>
      <c r="F124" s="43">
        <f>2*C132</f>
        <v>1.28</v>
      </c>
      <c r="G124" s="43">
        <f t="shared" si="5"/>
        <v>11.72</v>
      </c>
      <c r="H124" s="43">
        <f>10*4</f>
        <v>40</v>
      </c>
      <c r="I124" s="98">
        <f t="shared" si="1"/>
        <v>468.8</v>
      </c>
      <c r="K124" s="98"/>
    </row>
    <row r="125" spans="2:11" ht="30" x14ac:dyDescent="0.25">
      <c r="B125" s="74" t="s">
        <v>1607</v>
      </c>
      <c r="C125" s="43">
        <v>5</v>
      </c>
      <c r="D125" s="43">
        <v>2.6</v>
      </c>
      <c r="E125" s="43">
        <f t="shared" si="2"/>
        <v>13</v>
      </c>
      <c r="F125" s="43">
        <f>C137</f>
        <v>2.73</v>
      </c>
      <c r="G125" s="43">
        <f t="shared" si="3"/>
        <v>10.27</v>
      </c>
      <c r="H125" s="43">
        <v>10</v>
      </c>
      <c r="I125" s="98">
        <f t="shared" si="1"/>
        <v>102.69999999999999</v>
      </c>
      <c r="K125" s="98">
        <v>102.69999999999999</v>
      </c>
    </row>
    <row r="126" spans="2:11" ht="30" x14ac:dyDescent="0.25">
      <c r="B126" s="74" t="s">
        <v>1608</v>
      </c>
      <c r="C126" s="43">
        <v>5</v>
      </c>
      <c r="D126" s="43">
        <v>2.6</v>
      </c>
      <c r="E126" s="43">
        <f t="shared" si="2"/>
        <v>13</v>
      </c>
      <c r="F126" s="43">
        <f>C137</f>
        <v>2.73</v>
      </c>
      <c r="G126" s="43">
        <f t="shared" si="3"/>
        <v>10.27</v>
      </c>
      <c r="H126" s="43">
        <v>10</v>
      </c>
      <c r="I126" s="98">
        <f t="shared" si="1"/>
        <v>102.69999999999999</v>
      </c>
      <c r="K126" s="98"/>
    </row>
    <row r="127" spans="2:11" x14ac:dyDescent="0.25">
      <c r="I127" s="98">
        <f>SUM(I115:I126)</f>
        <v>9486.7000000000007</v>
      </c>
      <c r="K127" s="117">
        <f>SUM(K115:K126)</f>
        <v>4899.3500000000013</v>
      </c>
    </row>
    <row r="130" spans="2:9" ht="15.75" x14ac:dyDescent="0.25">
      <c r="B130" s="246" t="s">
        <v>1609</v>
      </c>
      <c r="C130" s="247"/>
      <c r="D130" s="247"/>
      <c r="E130" s="247"/>
      <c r="F130" s="247"/>
    </row>
    <row r="131" spans="2:9" x14ac:dyDescent="0.25">
      <c r="B131" s="38" t="s">
        <v>1610</v>
      </c>
      <c r="C131" s="39" t="s">
        <v>1047</v>
      </c>
      <c r="D131" s="39"/>
      <c r="E131" s="39" t="s">
        <v>1048</v>
      </c>
      <c r="F131" s="38" t="s">
        <v>1035</v>
      </c>
    </row>
    <row r="132" spans="2:9" x14ac:dyDescent="0.25">
      <c r="B132" s="106" t="s">
        <v>1043</v>
      </c>
      <c r="C132" s="43">
        <v>0.64</v>
      </c>
      <c r="D132" s="43">
        <v>6</v>
      </c>
      <c r="E132" s="43">
        <f>4*10</f>
        <v>40</v>
      </c>
      <c r="F132" s="98">
        <f t="shared" ref="F132:F138" si="7">C132*E132*D132</f>
        <v>153.60000000000002</v>
      </c>
    </row>
    <row r="133" spans="2:9" x14ac:dyDescent="0.25">
      <c r="B133" s="106" t="s">
        <v>1044</v>
      </c>
      <c r="C133" s="43">
        <v>1.2</v>
      </c>
      <c r="D133" s="43">
        <v>4</v>
      </c>
      <c r="E133" s="43">
        <f t="shared" ref="E133:E135" si="8">5*10</f>
        <v>50</v>
      </c>
      <c r="F133" s="98">
        <f t="shared" si="7"/>
        <v>240</v>
      </c>
    </row>
    <row r="134" spans="2:9" x14ac:dyDescent="0.25">
      <c r="B134" s="106" t="s">
        <v>1045</v>
      </c>
      <c r="C134" s="43">
        <v>1.44</v>
      </c>
      <c r="D134" s="43">
        <v>8</v>
      </c>
      <c r="E134" s="43">
        <f t="shared" si="8"/>
        <v>50</v>
      </c>
      <c r="F134" s="98">
        <f t="shared" si="7"/>
        <v>576</v>
      </c>
    </row>
    <row r="135" spans="2:9" x14ac:dyDescent="0.25">
      <c r="B135" s="106" t="s">
        <v>1046</v>
      </c>
      <c r="C135" s="43">
        <v>2</v>
      </c>
      <c r="D135" s="43">
        <v>4</v>
      </c>
      <c r="E135" s="43">
        <f t="shared" si="8"/>
        <v>50</v>
      </c>
      <c r="F135" s="98">
        <f t="shared" si="7"/>
        <v>400</v>
      </c>
    </row>
    <row r="136" spans="2:9" x14ac:dyDescent="0.25">
      <c r="B136" s="106" t="s">
        <v>1062</v>
      </c>
      <c r="C136" s="43">
        <v>1.575</v>
      </c>
      <c r="D136" s="43">
        <v>1</v>
      </c>
      <c r="E136" s="43">
        <v>10</v>
      </c>
      <c r="F136" s="98">
        <f t="shared" si="7"/>
        <v>15.75</v>
      </c>
    </row>
    <row r="137" spans="2:9" x14ac:dyDescent="0.25">
      <c r="B137" s="106" t="s">
        <v>1063</v>
      </c>
      <c r="C137" s="43">
        <v>2.73</v>
      </c>
      <c r="D137" s="43">
        <v>1</v>
      </c>
      <c r="E137" s="43">
        <v>10</v>
      </c>
      <c r="F137" s="98">
        <f t="shared" si="7"/>
        <v>27.3</v>
      </c>
    </row>
    <row r="138" spans="2:9" x14ac:dyDescent="0.25">
      <c r="B138" s="106" t="s">
        <v>1064</v>
      </c>
      <c r="C138" s="43">
        <v>0.64</v>
      </c>
      <c r="D138" s="43">
        <v>5</v>
      </c>
      <c r="E138" s="43">
        <v>10</v>
      </c>
      <c r="F138" s="98">
        <f t="shared" si="7"/>
        <v>32</v>
      </c>
    </row>
    <row r="139" spans="2:9" x14ac:dyDescent="0.25">
      <c r="F139" s="98">
        <f>SUM(F132:F138)</f>
        <v>1444.6499999999999</v>
      </c>
    </row>
    <row r="141" spans="2:9" ht="15.75" x14ac:dyDescent="0.25">
      <c r="B141" s="240" t="s">
        <v>1049</v>
      </c>
      <c r="C141" s="241"/>
      <c r="D141" s="241"/>
      <c r="E141" s="241"/>
      <c r="F141" s="241"/>
      <c r="G141" s="241"/>
      <c r="H141" s="241"/>
    </row>
    <row r="142" spans="2:9" ht="30" x14ac:dyDescent="0.25">
      <c r="B142" s="38"/>
      <c r="C142" s="38" t="s">
        <v>1612</v>
      </c>
      <c r="D142" s="39" t="s">
        <v>1056</v>
      </c>
      <c r="E142" s="39" t="s">
        <v>1057</v>
      </c>
      <c r="F142" s="39" t="s">
        <v>1059</v>
      </c>
      <c r="G142" s="39" t="s">
        <v>1058</v>
      </c>
      <c r="H142" s="39" t="s">
        <v>1048</v>
      </c>
      <c r="I142" s="38" t="s">
        <v>1035</v>
      </c>
    </row>
    <row r="143" spans="2:9" x14ac:dyDescent="0.25">
      <c r="B143" s="244" t="s">
        <v>1611</v>
      </c>
      <c r="C143" s="147" t="s">
        <v>1613</v>
      </c>
      <c r="D143" s="43">
        <v>2.65</v>
      </c>
      <c r="E143" s="43">
        <v>2.6</v>
      </c>
      <c r="F143" s="43">
        <f t="shared" ref="F143:F148" si="9">D143*E143</f>
        <v>6.89</v>
      </c>
      <c r="G143" s="43"/>
      <c r="H143" s="43">
        <v>200</v>
      </c>
      <c r="I143" s="98">
        <f>(F143-G143)*H143</f>
        <v>1378</v>
      </c>
    </row>
    <row r="144" spans="2:9" x14ac:dyDescent="0.25">
      <c r="B144" s="245"/>
      <c r="C144" s="148" t="s">
        <v>1614</v>
      </c>
      <c r="D144" s="43">
        <v>2.5499999999999998</v>
      </c>
      <c r="E144" s="43">
        <v>2.6</v>
      </c>
      <c r="F144" s="43">
        <f t="shared" si="9"/>
        <v>6.63</v>
      </c>
      <c r="G144" s="43"/>
      <c r="H144" s="43">
        <v>200</v>
      </c>
      <c r="I144" s="98">
        <f t="shared" ref="I144:I172" si="10">(F144-G144)*H144</f>
        <v>1326</v>
      </c>
    </row>
    <row r="145" spans="2:9" x14ac:dyDescent="0.25">
      <c r="B145" s="244" t="s">
        <v>1615</v>
      </c>
      <c r="C145" s="147" t="s">
        <v>1613</v>
      </c>
      <c r="D145" s="43">
        <v>2.15</v>
      </c>
      <c r="E145" s="43">
        <v>2.6</v>
      </c>
      <c r="F145" s="43">
        <f t="shared" si="9"/>
        <v>5.59</v>
      </c>
      <c r="G145" s="43"/>
      <c r="H145" s="43">
        <v>200</v>
      </c>
      <c r="I145" s="98">
        <f t="shared" si="10"/>
        <v>1118</v>
      </c>
    </row>
    <row r="146" spans="2:9" x14ac:dyDescent="0.25">
      <c r="B146" s="245"/>
      <c r="C146" s="148" t="s">
        <v>1614</v>
      </c>
      <c r="D146" s="43">
        <v>2.0499999999999998</v>
      </c>
      <c r="E146" s="43">
        <v>2.6</v>
      </c>
      <c r="F146" s="43">
        <f t="shared" si="9"/>
        <v>5.33</v>
      </c>
      <c r="G146" s="43"/>
      <c r="H146" s="43">
        <v>200</v>
      </c>
      <c r="I146" s="98">
        <f t="shared" si="10"/>
        <v>1066</v>
      </c>
    </row>
    <row r="147" spans="2:9" x14ac:dyDescent="0.25">
      <c r="B147" s="244" t="s">
        <v>1616</v>
      </c>
      <c r="C147" s="147" t="s">
        <v>1613</v>
      </c>
      <c r="D147" s="43">
        <v>3.2</v>
      </c>
      <c r="E147" s="43">
        <v>2.6</v>
      </c>
      <c r="F147" s="43">
        <f t="shared" si="9"/>
        <v>8.32</v>
      </c>
      <c r="G147" s="43">
        <v>1.68</v>
      </c>
      <c r="H147" s="43">
        <v>200</v>
      </c>
      <c r="I147" s="98">
        <f t="shared" si="10"/>
        <v>1328</v>
      </c>
    </row>
    <row r="148" spans="2:9" ht="16.5" customHeight="1" x14ac:dyDescent="0.25">
      <c r="B148" s="245" t="s">
        <v>1081</v>
      </c>
      <c r="C148" s="148" t="s">
        <v>1614</v>
      </c>
      <c r="D148" s="43">
        <v>3.1</v>
      </c>
      <c r="E148" s="43">
        <v>2.6</v>
      </c>
      <c r="F148" s="43">
        <f t="shared" si="9"/>
        <v>8.06</v>
      </c>
      <c r="G148" s="43">
        <v>1.68</v>
      </c>
      <c r="H148" s="43">
        <v>200</v>
      </c>
      <c r="I148" s="98">
        <f t="shared" si="10"/>
        <v>1276.0000000000002</v>
      </c>
    </row>
    <row r="149" spans="2:9" x14ac:dyDescent="0.25">
      <c r="B149" s="244" t="s">
        <v>1618</v>
      </c>
      <c r="C149" s="147" t="s">
        <v>1613</v>
      </c>
      <c r="D149" s="43">
        <v>1.05</v>
      </c>
      <c r="E149" s="43">
        <v>2.6</v>
      </c>
      <c r="F149" s="43">
        <f t="shared" ref="F149:F172" si="11">D149*E149</f>
        <v>2.7300000000000004</v>
      </c>
      <c r="G149" s="43">
        <v>1.68</v>
      </c>
      <c r="H149" s="43">
        <v>200</v>
      </c>
      <c r="I149" s="98">
        <f t="shared" si="10"/>
        <v>210.00000000000009</v>
      </c>
    </row>
    <row r="150" spans="2:9" x14ac:dyDescent="0.25">
      <c r="B150" s="245"/>
      <c r="C150" s="148" t="s">
        <v>1614</v>
      </c>
      <c r="D150" s="43">
        <v>0.95</v>
      </c>
      <c r="E150" s="43">
        <v>2.6</v>
      </c>
      <c r="F150" s="43">
        <f t="shared" si="11"/>
        <v>2.4699999999999998</v>
      </c>
      <c r="G150" s="43">
        <v>1.68</v>
      </c>
      <c r="H150" s="43">
        <v>200</v>
      </c>
      <c r="I150" s="98">
        <f t="shared" si="10"/>
        <v>157.99999999999997</v>
      </c>
    </row>
    <row r="151" spans="2:9" x14ac:dyDescent="0.25">
      <c r="B151" s="244" t="s">
        <v>1619</v>
      </c>
      <c r="C151" s="147" t="s">
        <v>1613</v>
      </c>
      <c r="D151" s="43">
        <v>1.25</v>
      </c>
      <c r="E151" s="43">
        <v>2.6</v>
      </c>
      <c r="F151" s="43">
        <f t="shared" si="11"/>
        <v>3.25</v>
      </c>
      <c r="G151" s="43">
        <v>1.47</v>
      </c>
      <c r="H151" s="43">
        <v>200</v>
      </c>
      <c r="I151" s="98">
        <f t="shared" si="10"/>
        <v>356</v>
      </c>
    </row>
    <row r="152" spans="2:9" x14ac:dyDescent="0.25">
      <c r="B152" s="245"/>
      <c r="C152" s="148" t="s">
        <v>1614</v>
      </c>
      <c r="D152" s="43">
        <v>1.25</v>
      </c>
      <c r="E152" s="43">
        <v>2.6</v>
      </c>
      <c r="F152" s="43">
        <f t="shared" si="11"/>
        <v>3.25</v>
      </c>
      <c r="G152" s="43">
        <v>1.47</v>
      </c>
      <c r="H152" s="43">
        <v>200</v>
      </c>
      <c r="I152" s="98">
        <f t="shared" si="10"/>
        <v>356</v>
      </c>
    </row>
    <row r="153" spans="2:9" x14ac:dyDescent="0.25">
      <c r="B153" s="244" t="s">
        <v>1620</v>
      </c>
      <c r="C153" s="147" t="s">
        <v>1613</v>
      </c>
      <c r="D153" s="43">
        <v>2.65</v>
      </c>
      <c r="E153" s="43">
        <v>2.6</v>
      </c>
      <c r="F153" s="43">
        <f t="shared" si="11"/>
        <v>6.89</v>
      </c>
      <c r="G153" s="43"/>
      <c r="H153" s="43">
        <v>200</v>
      </c>
      <c r="I153" s="98">
        <f t="shared" si="10"/>
        <v>1378</v>
      </c>
    </row>
    <row r="154" spans="2:9" x14ac:dyDescent="0.25">
      <c r="B154" s="245"/>
      <c r="C154" s="148" t="s">
        <v>1614</v>
      </c>
      <c r="D154" s="43">
        <v>2.5499999999999998</v>
      </c>
      <c r="E154" s="43">
        <v>2.6</v>
      </c>
      <c r="F154" s="43">
        <f t="shared" si="11"/>
        <v>6.63</v>
      </c>
      <c r="G154" s="43"/>
      <c r="H154" s="43">
        <v>200</v>
      </c>
      <c r="I154" s="98">
        <f t="shared" si="10"/>
        <v>1326</v>
      </c>
    </row>
    <row r="155" spans="2:9" x14ac:dyDescent="0.25">
      <c r="B155" s="244" t="s">
        <v>1621</v>
      </c>
      <c r="C155" s="147" t="s">
        <v>1613</v>
      </c>
      <c r="D155" s="43">
        <v>0.75</v>
      </c>
      <c r="E155" s="43">
        <v>2.6</v>
      </c>
      <c r="F155" s="43">
        <f t="shared" si="11"/>
        <v>1.9500000000000002</v>
      </c>
      <c r="G155" s="43"/>
      <c r="H155" s="43">
        <v>200</v>
      </c>
      <c r="I155" s="98">
        <f t="shared" si="10"/>
        <v>390.00000000000006</v>
      </c>
    </row>
    <row r="156" spans="2:9" x14ac:dyDescent="0.25">
      <c r="B156" s="245"/>
      <c r="C156" s="148" t="s">
        <v>1614</v>
      </c>
      <c r="D156" s="43">
        <v>0.75</v>
      </c>
      <c r="E156" s="43">
        <v>2.6</v>
      </c>
      <c r="F156" s="43">
        <f t="shared" si="11"/>
        <v>1.9500000000000002</v>
      </c>
      <c r="G156" s="43"/>
      <c r="H156" s="43">
        <v>200</v>
      </c>
      <c r="I156" s="98">
        <f t="shared" si="10"/>
        <v>390.00000000000006</v>
      </c>
    </row>
    <row r="157" spans="2:9" x14ac:dyDescent="0.25">
      <c r="B157" s="244" t="s">
        <v>1622</v>
      </c>
      <c r="C157" s="147" t="s">
        <v>1613</v>
      </c>
      <c r="D157" s="43">
        <v>1.2</v>
      </c>
      <c r="E157" s="43">
        <v>1.2</v>
      </c>
      <c r="F157" s="43">
        <f t="shared" si="11"/>
        <v>1.44</v>
      </c>
      <c r="G157" s="43"/>
      <c r="H157" s="43">
        <v>200</v>
      </c>
      <c r="I157" s="98">
        <f t="shared" si="10"/>
        <v>288</v>
      </c>
    </row>
    <row r="158" spans="2:9" x14ac:dyDescent="0.25">
      <c r="B158" s="245"/>
      <c r="C158" s="148" t="s">
        <v>1614</v>
      </c>
      <c r="D158" s="43">
        <v>1.2</v>
      </c>
      <c r="E158" s="43">
        <v>1.2</v>
      </c>
      <c r="F158" s="43">
        <f t="shared" si="11"/>
        <v>1.44</v>
      </c>
      <c r="G158" s="43"/>
      <c r="H158" s="43">
        <v>200</v>
      </c>
      <c r="I158" s="98">
        <f t="shared" si="10"/>
        <v>288</v>
      </c>
    </row>
    <row r="159" spans="2:9" x14ac:dyDescent="0.25">
      <c r="B159" s="244" t="s">
        <v>1623</v>
      </c>
      <c r="C159" s="147" t="s">
        <v>1613</v>
      </c>
      <c r="D159" s="43">
        <v>4.75</v>
      </c>
      <c r="E159" s="43">
        <v>2.6</v>
      </c>
      <c r="F159" s="43">
        <f t="shared" si="11"/>
        <v>12.35</v>
      </c>
      <c r="G159" s="43">
        <f>2*1.89</f>
        <v>3.78</v>
      </c>
      <c r="H159" s="43">
        <f>2*5*10</f>
        <v>100</v>
      </c>
      <c r="I159" s="98">
        <f t="shared" si="10"/>
        <v>857</v>
      </c>
    </row>
    <row r="160" spans="2:9" x14ac:dyDescent="0.25">
      <c r="B160" s="245"/>
      <c r="C160" s="148" t="s">
        <v>1614</v>
      </c>
      <c r="D160" s="43">
        <v>4.75</v>
      </c>
      <c r="E160" s="43">
        <v>2.6</v>
      </c>
      <c r="F160" s="43">
        <f t="shared" si="11"/>
        <v>12.35</v>
      </c>
      <c r="G160" s="43">
        <f>2*1.89</f>
        <v>3.78</v>
      </c>
      <c r="H160" s="43">
        <f>2*5*10</f>
        <v>100</v>
      </c>
      <c r="I160" s="98">
        <f t="shared" si="10"/>
        <v>857</v>
      </c>
    </row>
    <row r="161" spans="2:9" x14ac:dyDescent="0.25">
      <c r="B161" s="244" t="s">
        <v>1624</v>
      </c>
      <c r="C161" s="147" t="s">
        <v>1613</v>
      </c>
      <c r="D161" s="43">
        <v>6.2</v>
      </c>
      <c r="E161" s="43">
        <v>2.6</v>
      </c>
      <c r="F161" s="43">
        <f t="shared" si="11"/>
        <v>16.12</v>
      </c>
      <c r="G161" s="43"/>
      <c r="H161" s="43">
        <f>5*10</f>
        <v>50</v>
      </c>
      <c r="I161" s="98">
        <f t="shared" si="10"/>
        <v>806</v>
      </c>
    </row>
    <row r="162" spans="2:9" x14ac:dyDescent="0.25">
      <c r="B162" s="245"/>
      <c r="C162" s="148" t="s">
        <v>1614</v>
      </c>
      <c r="D162" s="43">
        <v>7</v>
      </c>
      <c r="E162" s="43">
        <v>2.6</v>
      </c>
      <c r="F162" s="43">
        <f t="shared" si="11"/>
        <v>18.2</v>
      </c>
      <c r="G162" s="43"/>
      <c r="H162" s="43">
        <f>5*10</f>
        <v>50</v>
      </c>
      <c r="I162" s="98">
        <f t="shared" si="10"/>
        <v>910</v>
      </c>
    </row>
    <row r="163" spans="2:9" x14ac:dyDescent="0.25">
      <c r="B163" s="244" t="s">
        <v>1625</v>
      </c>
      <c r="C163" s="147" t="s">
        <v>1613</v>
      </c>
      <c r="D163" s="43">
        <v>0.7</v>
      </c>
      <c r="E163" s="43">
        <v>2.6</v>
      </c>
      <c r="F163" s="43">
        <f t="shared" si="11"/>
        <v>1.8199999999999998</v>
      </c>
      <c r="G163" s="43"/>
      <c r="H163" s="43">
        <f>4*5*10</f>
        <v>200</v>
      </c>
      <c r="I163" s="98">
        <f t="shared" si="10"/>
        <v>363.99999999999994</v>
      </c>
    </row>
    <row r="164" spans="2:9" x14ac:dyDescent="0.25">
      <c r="B164" s="245"/>
      <c r="C164" s="148" t="s">
        <v>1614</v>
      </c>
      <c r="D164" s="43">
        <v>0.8</v>
      </c>
      <c r="E164" s="43">
        <v>2.6</v>
      </c>
      <c r="F164" s="43">
        <f t="shared" si="11"/>
        <v>2.08</v>
      </c>
      <c r="G164" s="43"/>
      <c r="H164" s="43">
        <f>4*5*10</f>
        <v>200</v>
      </c>
      <c r="I164" s="98">
        <f t="shared" si="10"/>
        <v>416</v>
      </c>
    </row>
    <row r="165" spans="2:9" x14ac:dyDescent="0.25">
      <c r="B165" s="244" t="s">
        <v>1626</v>
      </c>
      <c r="C165" s="147" t="s">
        <v>1613</v>
      </c>
      <c r="D165" s="43">
        <v>0.85</v>
      </c>
      <c r="E165" s="43">
        <v>2.6</v>
      </c>
      <c r="F165" s="43">
        <f t="shared" si="11"/>
        <v>2.21</v>
      </c>
      <c r="G165" s="43"/>
      <c r="H165" s="43">
        <f>4*5*10</f>
        <v>200</v>
      </c>
      <c r="I165" s="98">
        <f t="shared" si="10"/>
        <v>442</v>
      </c>
    </row>
    <row r="166" spans="2:9" x14ac:dyDescent="0.25">
      <c r="B166" s="245"/>
      <c r="C166" s="148" t="s">
        <v>1614</v>
      </c>
      <c r="D166" s="43">
        <v>0.95</v>
      </c>
      <c r="E166" s="43">
        <v>2.6</v>
      </c>
      <c r="F166" s="43">
        <f t="shared" si="11"/>
        <v>2.4699999999999998</v>
      </c>
      <c r="G166" s="43"/>
      <c r="H166" s="43">
        <f t="shared" ref="H166:H168" si="12">4*5*10</f>
        <v>200</v>
      </c>
      <c r="I166" s="98">
        <f t="shared" si="10"/>
        <v>493.99999999999994</v>
      </c>
    </row>
    <row r="167" spans="2:9" x14ac:dyDescent="0.25">
      <c r="B167" s="244" t="s">
        <v>1627</v>
      </c>
      <c r="C167" s="147" t="s">
        <v>1613</v>
      </c>
      <c r="D167" s="43">
        <v>0.9</v>
      </c>
      <c r="E167" s="43">
        <v>2.6</v>
      </c>
      <c r="F167" s="43">
        <f t="shared" si="11"/>
        <v>2.3400000000000003</v>
      </c>
      <c r="G167" s="43"/>
      <c r="H167" s="43">
        <f t="shared" si="12"/>
        <v>200</v>
      </c>
      <c r="I167" s="98">
        <f t="shared" si="10"/>
        <v>468.00000000000006</v>
      </c>
    </row>
    <row r="168" spans="2:9" x14ac:dyDescent="0.25">
      <c r="B168" s="245"/>
      <c r="C168" s="148" t="s">
        <v>1614</v>
      </c>
      <c r="D168" s="43">
        <v>1</v>
      </c>
      <c r="E168" s="43">
        <v>2.6</v>
      </c>
      <c r="F168" s="43">
        <f t="shared" si="11"/>
        <v>2.6</v>
      </c>
      <c r="G168" s="43"/>
      <c r="H168" s="43">
        <f t="shared" si="12"/>
        <v>200</v>
      </c>
      <c r="I168" s="98">
        <f t="shared" si="10"/>
        <v>520</v>
      </c>
    </row>
    <row r="169" spans="2:9" x14ac:dyDescent="0.25">
      <c r="B169" s="244" t="s">
        <v>1628</v>
      </c>
      <c r="C169" s="147" t="s">
        <v>1613</v>
      </c>
      <c r="D169" s="43">
        <v>5.85</v>
      </c>
      <c r="E169" s="43">
        <v>2.6</v>
      </c>
      <c r="F169" s="43">
        <f t="shared" si="11"/>
        <v>15.209999999999999</v>
      </c>
      <c r="G169" s="43"/>
      <c r="H169" s="43">
        <f>2*5*10</f>
        <v>100</v>
      </c>
      <c r="I169" s="98">
        <f t="shared" si="10"/>
        <v>1521</v>
      </c>
    </row>
    <row r="170" spans="2:9" x14ac:dyDescent="0.25">
      <c r="B170" s="245"/>
      <c r="C170" s="148" t="s">
        <v>1614</v>
      </c>
      <c r="D170" s="43">
        <v>5.85</v>
      </c>
      <c r="E170" s="43">
        <v>2.6</v>
      </c>
      <c r="F170" s="43">
        <f t="shared" si="11"/>
        <v>15.209999999999999</v>
      </c>
      <c r="G170" s="43"/>
      <c r="H170" s="43">
        <f>2*5*10</f>
        <v>100</v>
      </c>
      <c r="I170" s="98">
        <f t="shared" si="10"/>
        <v>1521</v>
      </c>
    </row>
    <row r="171" spans="2:9" x14ac:dyDescent="0.25">
      <c r="B171" s="244" t="s">
        <v>1617</v>
      </c>
      <c r="C171" s="147" t="s">
        <v>1613</v>
      </c>
      <c r="D171" s="43">
        <v>1.2</v>
      </c>
      <c r="E171" s="43">
        <v>2.1</v>
      </c>
      <c r="F171" s="43">
        <f t="shared" si="11"/>
        <v>2.52</v>
      </c>
      <c r="G171" s="43"/>
      <c r="H171" s="43">
        <v>10</v>
      </c>
      <c r="I171" s="98">
        <f t="shared" si="10"/>
        <v>25.2</v>
      </c>
    </row>
    <row r="172" spans="2:9" x14ac:dyDescent="0.25">
      <c r="B172" s="245"/>
      <c r="C172" s="148" t="s">
        <v>1614</v>
      </c>
      <c r="D172" s="43">
        <v>1.2</v>
      </c>
      <c r="E172" s="43">
        <v>2.1</v>
      </c>
      <c r="F172" s="43">
        <f t="shared" si="11"/>
        <v>2.52</v>
      </c>
      <c r="G172" s="43"/>
      <c r="H172" s="43">
        <v>10</v>
      </c>
      <c r="I172" s="98">
        <f t="shared" si="10"/>
        <v>25.2</v>
      </c>
    </row>
    <row r="173" spans="2:9" x14ac:dyDescent="0.25">
      <c r="C173" s="149"/>
      <c r="I173" s="98">
        <f>SUM(I143:I172)</f>
        <v>21858.400000000001</v>
      </c>
    </row>
    <row r="175" spans="2:9" ht="15.75" x14ac:dyDescent="0.25">
      <c r="B175" s="240" t="s">
        <v>1049</v>
      </c>
      <c r="C175" s="241"/>
      <c r="D175" s="241"/>
      <c r="E175" s="241"/>
      <c r="F175" s="241"/>
      <c r="G175" s="241"/>
      <c r="H175" s="241"/>
    </row>
    <row r="176" spans="2:9" x14ac:dyDescent="0.25">
      <c r="B176" s="38" t="s">
        <v>1042</v>
      </c>
      <c r="C176" s="39" t="s">
        <v>1056</v>
      </c>
      <c r="D176" s="39" t="s">
        <v>1057</v>
      </c>
      <c r="E176" s="39" t="s">
        <v>1059</v>
      </c>
      <c r="F176" s="39" t="s">
        <v>1058</v>
      </c>
      <c r="G176" s="39" t="s">
        <v>1048</v>
      </c>
      <c r="H176" s="38" t="s">
        <v>1035</v>
      </c>
    </row>
    <row r="177" spans="2:8" x14ac:dyDescent="0.25">
      <c r="B177" s="106" t="s">
        <v>1050</v>
      </c>
      <c r="C177" s="43">
        <v>11.3</v>
      </c>
      <c r="D177" s="43">
        <v>2.6</v>
      </c>
      <c r="E177" s="43">
        <f t="shared" ref="E177:E185" si="13">C177*D177</f>
        <v>29.380000000000003</v>
      </c>
      <c r="F177" s="43">
        <f>1.44+1.68</f>
        <v>3.12</v>
      </c>
      <c r="G177" s="43">
        <f>4*5*10</f>
        <v>200</v>
      </c>
      <c r="H177" s="98">
        <f>(E177-F177)*G177</f>
        <v>5252</v>
      </c>
    </row>
    <row r="178" spans="2:8" x14ac:dyDescent="0.25">
      <c r="B178" s="106" t="s">
        <v>1051</v>
      </c>
      <c r="C178" s="43">
        <v>11.3</v>
      </c>
      <c r="D178" s="43">
        <v>2.6</v>
      </c>
      <c r="E178" s="43">
        <f t="shared" si="13"/>
        <v>29.380000000000003</v>
      </c>
      <c r="F178" s="43">
        <f>1.44+1.68</f>
        <v>3.12</v>
      </c>
      <c r="G178" s="43">
        <f t="shared" ref="G178:G181" si="14">4*5*10</f>
        <v>200</v>
      </c>
      <c r="H178" s="98">
        <f t="shared" ref="H178:H184" si="15">(E178-F178)*G178</f>
        <v>5252</v>
      </c>
    </row>
    <row r="179" spans="2:8" x14ac:dyDescent="0.25">
      <c r="B179" s="106" t="s">
        <v>1052</v>
      </c>
      <c r="C179" s="43">
        <v>6.6</v>
      </c>
      <c r="D179" s="43">
        <v>2.6</v>
      </c>
      <c r="E179" s="43">
        <f t="shared" si="13"/>
        <v>17.16</v>
      </c>
      <c r="F179" s="43">
        <f>0.64+1.47</f>
        <v>2.11</v>
      </c>
      <c r="G179" s="43">
        <f t="shared" si="14"/>
        <v>200</v>
      </c>
      <c r="H179" s="98">
        <f t="shared" si="15"/>
        <v>3010</v>
      </c>
    </row>
    <row r="180" spans="2:8" x14ac:dyDescent="0.25">
      <c r="B180" s="106" t="s">
        <v>1054</v>
      </c>
      <c r="C180" s="43">
        <v>16</v>
      </c>
      <c r="D180" s="43">
        <v>2.6</v>
      </c>
      <c r="E180" s="43">
        <f t="shared" si="13"/>
        <v>41.6</v>
      </c>
      <c r="F180" s="43">
        <f>(2*1.68)+1.47+1.89+2+(2*2.6)</f>
        <v>13.919999999999998</v>
      </c>
      <c r="G180" s="43">
        <f t="shared" si="14"/>
        <v>200</v>
      </c>
      <c r="H180" s="98">
        <f t="shared" si="15"/>
        <v>5536.0000000000009</v>
      </c>
    </row>
    <row r="181" spans="2:8" x14ac:dyDescent="0.25">
      <c r="B181" s="106" t="s">
        <v>1053</v>
      </c>
      <c r="C181" s="43">
        <v>9.9</v>
      </c>
      <c r="D181" s="43">
        <v>2.6</v>
      </c>
      <c r="E181" s="43">
        <f t="shared" si="13"/>
        <v>25.740000000000002</v>
      </c>
      <c r="F181" s="43">
        <f>1.2+(2*2.6)</f>
        <v>6.4</v>
      </c>
      <c r="G181" s="43">
        <f t="shared" si="14"/>
        <v>200</v>
      </c>
      <c r="H181" s="98">
        <f t="shared" si="15"/>
        <v>3868.0000000000009</v>
      </c>
    </row>
    <row r="182" spans="2:8" ht="30" x14ac:dyDescent="0.25">
      <c r="B182" s="74" t="s">
        <v>1081</v>
      </c>
      <c r="C182" s="43">
        <v>1.2</v>
      </c>
      <c r="D182" s="43">
        <v>1.2</v>
      </c>
      <c r="E182" s="43">
        <f t="shared" si="13"/>
        <v>1.44</v>
      </c>
      <c r="F182" s="43"/>
      <c r="G182" s="43">
        <f>4*5*10</f>
        <v>200</v>
      </c>
      <c r="H182" s="98">
        <f>E182*G182</f>
        <v>288</v>
      </c>
    </row>
    <row r="183" spans="2:8" ht="45" x14ac:dyDescent="0.25">
      <c r="B183" s="74" t="s">
        <v>1055</v>
      </c>
      <c r="C183" s="43">
        <f>(19.2+7+6.2)</f>
        <v>32.4</v>
      </c>
      <c r="D183" s="43">
        <v>2.6</v>
      </c>
      <c r="E183" s="43">
        <f t="shared" si="13"/>
        <v>84.24</v>
      </c>
      <c r="F183" s="43">
        <f>(2*0.64)+(4*1.89)</f>
        <v>8.84</v>
      </c>
      <c r="G183" s="43">
        <f>4*10</f>
        <v>40</v>
      </c>
      <c r="H183" s="98">
        <f t="shared" si="15"/>
        <v>3015.9999999999995</v>
      </c>
    </row>
    <row r="184" spans="2:8" ht="45" x14ac:dyDescent="0.25">
      <c r="B184" s="74" t="s">
        <v>1060</v>
      </c>
      <c r="C184" s="43">
        <v>32.4</v>
      </c>
      <c r="D184" s="43">
        <v>2.6</v>
      </c>
      <c r="E184" s="43">
        <f t="shared" si="13"/>
        <v>84.24</v>
      </c>
      <c r="F184" s="43">
        <f>0.64+(4*1.89)+1.575+2.73</f>
        <v>12.504999999999999</v>
      </c>
      <c r="G184" s="43">
        <v>10</v>
      </c>
      <c r="H184" s="98">
        <f t="shared" si="15"/>
        <v>717.35</v>
      </c>
    </row>
    <row r="185" spans="2:8" ht="75" x14ac:dyDescent="0.25">
      <c r="B185" s="74" t="s">
        <v>1080</v>
      </c>
      <c r="C185" s="43">
        <v>1.2</v>
      </c>
      <c r="D185" s="43">
        <v>2.1</v>
      </c>
      <c r="E185" s="43">
        <f t="shared" si="13"/>
        <v>2.52</v>
      </c>
      <c r="F185" s="43"/>
      <c r="G185" s="43">
        <v>10</v>
      </c>
      <c r="H185" s="98">
        <f>E185*G185</f>
        <v>25.2</v>
      </c>
    </row>
    <row r="186" spans="2:8" x14ac:dyDescent="0.25">
      <c r="H186" s="107">
        <f>SUM(H177:H185)</f>
        <v>26964.55</v>
      </c>
    </row>
    <row r="187" spans="2:8" x14ac:dyDescent="0.25">
      <c r="H187" s="115"/>
    </row>
    <row r="189" spans="2:8" ht="15.75" x14ac:dyDescent="0.25">
      <c r="B189" s="235" t="s">
        <v>1097</v>
      </c>
      <c r="C189" s="236"/>
      <c r="D189" s="236"/>
      <c r="E189" s="236"/>
      <c r="F189" s="236"/>
      <c r="G189" s="236"/>
      <c r="H189" s="236"/>
    </row>
    <row r="190" spans="2:8" x14ac:dyDescent="0.25">
      <c r="B190" s="38" t="s">
        <v>1088</v>
      </c>
      <c r="C190" s="39" t="s">
        <v>1096</v>
      </c>
      <c r="D190" s="39" t="s">
        <v>1057</v>
      </c>
      <c r="E190" s="39" t="s">
        <v>1059</v>
      </c>
      <c r="F190" s="39" t="s">
        <v>1058</v>
      </c>
      <c r="G190" s="39" t="s">
        <v>1048</v>
      </c>
      <c r="H190" s="38" t="s">
        <v>1035</v>
      </c>
    </row>
    <row r="191" spans="2:8" x14ac:dyDescent="0.25">
      <c r="B191" s="106" t="s">
        <v>1034</v>
      </c>
      <c r="C191" s="43">
        <v>2.5499999999999998</v>
      </c>
      <c r="D191" s="43">
        <v>2.6</v>
      </c>
      <c r="E191" s="43">
        <f t="shared" ref="E191:E202" si="16">C191*D191</f>
        <v>6.63</v>
      </c>
      <c r="F191" s="43">
        <v>0</v>
      </c>
      <c r="G191" s="43">
        <f>4*5*10</f>
        <v>200</v>
      </c>
      <c r="H191" s="98">
        <f>(E191-F191)*G191</f>
        <v>1326</v>
      </c>
    </row>
    <row r="192" spans="2:8" x14ac:dyDescent="0.25">
      <c r="B192" s="106" t="s">
        <v>1032</v>
      </c>
      <c r="C192" s="43">
        <v>2.0499999999999998</v>
      </c>
      <c r="D192" s="43">
        <v>2.6</v>
      </c>
      <c r="E192" s="43">
        <f t="shared" si="16"/>
        <v>5.33</v>
      </c>
      <c r="F192" s="43">
        <v>0</v>
      </c>
      <c r="G192" s="43">
        <f t="shared" ref="G192:G201" si="17">4*5*10</f>
        <v>200</v>
      </c>
      <c r="H192" s="98">
        <f t="shared" ref="H192:H195" si="18">(E192-F192)*G192</f>
        <v>1066</v>
      </c>
    </row>
    <row r="193" spans="2:9" x14ac:dyDescent="0.25">
      <c r="B193" s="106" t="s">
        <v>1033</v>
      </c>
      <c r="C193" s="116">
        <f>0.8+0.15</f>
        <v>0.95000000000000007</v>
      </c>
      <c r="D193" s="43">
        <v>2.6</v>
      </c>
      <c r="E193" s="43">
        <f t="shared" si="16"/>
        <v>2.4700000000000002</v>
      </c>
      <c r="F193" s="43">
        <v>0</v>
      </c>
      <c r="G193" s="43">
        <f t="shared" si="17"/>
        <v>200</v>
      </c>
      <c r="H193" s="98">
        <f t="shared" si="18"/>
        <v>494.00000000000006</v>
      </c>
    </row>
    <row r="194" spans="2:9" x14ac:dyDescent="0.25">
      <c r="B194" s="106" t="s">
        <v>1086</v>
      </c>
      <c r="C194" s="43">
        <v>1.35</v>
      </c>
      <c r="D194" s="43">
        <v>2.6</v>
      </c>
      <c r="E194" s="43">
        <f t="shared" si="16"/>
        <v>3.5100000000000002</v>
      </c>
      <c r="F194" s="43">
        <f>0.7*2.1</f>
        <v>1.47</v>
      </c>
      <c r="G194" s="43">
        <f t="shared" si="17"/>
        <v>200</v>
      </c>
      <c r="H194" s="98">
        <f t="shared" si="18"/>
        <v>408</v>
      </c>
    </row>
    <row r="195" spans="2:9" x14ac:dyDescent="0.25">
      <c r="B195" s="106" t="s">
        <v>1089</v>
      </c>
      <c r="C195" s="43">
        <v>3.1</v>
      </c>
      <c r="D195" s="43">
        <v>2.6</v>
      </c>
      <c r="E195" s="43">
        <f t="shared" si="16"/>
        <v>8.06</v>
      </c>
      <c r="F195" s="43">
        <f>0.8*2.1</f>
        <v>1.6800000000000002</v>
      </c>
      <c r="G195" s="43">
        <f t="shared" si="17"/>
        <v>200</v>
      </c>
      <c r="H195" s="98">
        <f t="shared" si="18"/>
        <v>1276.0000000000002</v>
      </c>
    </row>
    <row r="196" spans="2:9" x14ac:dyDescent="0.25">
      <c r="B196" s="106" t="s">
        <v>1090</v>
      </c>
      <c r="C196" s="43">
        <v>2.65</v>
      </c>
      <c r="D196" s="43">
        <v>2.6</v>
      </c>
      <c r="E196" s="43">
        <f t="shared" si="16"/>
        <v>6.89</v>
      </c>
      <c r="F196" s="43">
        <v>0</v>
      </c>
      <c r="G196" s="43">
        <f t="shared" si="17"/>
        <v>200</v>
      </c>
      <c r="H196" s="98">
        <f>E196*G196</f>
        <v>1378</v>
      </c>
    </row>
    <row r="197" spans="2:9" x14ac:dyDescent="0.25">
      <c r="B197" s="106" t="s">
        <v>1091</v>
      </c>
      <c r="C197" s="43">
        <v>1.05</v>
      </c>
      <c r="D197" s="43">
        <v>2.6</v>
      </c>
      <c r="E197" s="43">
        <f t="shared" si="16"/>
        <v>2.7300000000000004</v>
      </c>
      <c r="F197" s="43">
        <f>0.8*2.1</f>
        <v>1.6800000000000002</v>
      </c>
      <c r="G197" s="43">
        <f t="shared" si="17"/>
        <v>200</v>
      </c>
      <c r="H197" s="98">
        <f t="shared" ref="H197:H200" si="19">(E197-F197)*G197</f>
        <v>210.00000000000006</v>
      </c>
    </row>
    <row r="198" spans="2:9" x14ac:dyDescent="0.25">
      <c r="B198" s="106" t="s">
        <v>1092</v>
      </c>
      <c r="C198" s="43">
        <v>1.2</v>
      </c>
      <c r="D198" s="43">
        <v>1.2</v>
      </c>
      <c r="E198" s="43">
        <f t="shared" si="16"/>
        <v>1.44</v>
      </c>
      <c r="F198" s="43">
        <v>0</v>
      </c>
      <c r="G198" s="43">
        <f t="shared" si="17"/>
        <v>200</v>
      </c>
      <c r="H198" s="98">
        <f t="shared" si="19"/>
        <v>288</v>
      </c>
    </row>
    <row r="199" spans="2:9" x14ac:dyDescent="0.25">
      <c r="B199" s="106" t="s">
        <v>1093</v>
      </c>
      <c r="C199" s="43">
        <v>0.75</v>
      </c>
      <c r="D199" s="43">
        <v>2.6</v>
      </c>
      <c r="E199" s="43">
        <f t="shared" si="16"/>
        <v>1.9500000000000002</v>
      </c>
      <c r="F199" s="43">
        <v>0</v>
      </c>
      <c r="G199" s="43">
        <f t="shared" si="17"/>
        <v>200</v>
      </c>
      <c r="H199" s="98">
        <f t="shared" si="19"/>
        <v>390.00000000000006</v>
      </c>
    </row>
    <row r="200" spans="2:9" x14ac:dyDescent="0.25">
      <c r="B200" s="106" t="s">
        <v>1094</v>
      </c>
      <c r="C200" s="116">
        <f>0.15+0.75</f>
        <v>0.9</v>
      </c>
      <c r="D200" s="43">
        <v>2.6</v>
      </c>
      <c r="E200" s="43">
        <f t="shared" si="16"/>
        <v>2.3400000000000003</v>
      </c>
      <c r="F200" s="43">
        <v>0</v>
      </c>
      <c r="G200" s="43">
        <f t="shared" si="17"/>
        <v>200</v>
      </c>
      <c r="H200" s="98">
        <f t="shared" si="19"/>
        <v>468.00000000000006</v>
      </c>
    </row>
    <row r="201" spans="2:9" x14ac:dyDescent="0.25">
      <c r="B201" s="106" t="s">
        <v>1095</v>
      </c>
      <c r="C201" s="116">
        <f>0.55+0.2</f>
        <v>0.75</v>
      </c>
      <c r="D201" s="43">
        <v>2.6</v>
      </c>
      <c r="E201" s="43">
        <f t="shared" si="16"/>
        <v>1.9500000000000002</v>
      </c>
      <c r="F201" s="43">
        <v>0</v>
      </c>
      <c r="G201" s="43">
        <f t="shared" si="17"/>
        <v>200</v>
      </c>
      <c r="H201" s="98">
        <f>E201*G201</f>
        <v>390.00000000000006</v>
      </c>
    </row>
    <row r="202" spans="2:9" x14ac:dyDescent="0.25">
      <c r="B202" s="106" t="s">
        <v>1106</v>
      </c>
      <c r="C202" s="116">
        <v>1.2</v>
      </c>
      <c r="D202" s="43">
        <v>2.1</v>
      </c>
      <c r="E202" s="43">
        <f t="shared" si="16"/>
        <v>2.52</v>
      </c>
      <c r="F202" s="43">
        <v>0</v>
      </c>
      <c r="G202" s="43">
        <v>10</v>
      </c>
      <c r="H202" s="98">
        <f>E202*G202</f>
        <v>25.2</v>
      </c>
    </row>
    <row r="203" spans="2:9" x14ac:dyDescent="0.25">
      <c r="H203" s="107">
        <f>SUM(H191:H202)</f>
        <v>7719.2</v>
      </c>
    </row>
    <row r="204" spans="2:9" ht="15.75" x14ac:dyDescent="0.25">
      <c r="B204" s="235" t="s">
        <v>1098</v>
      </c>
      <c r="C204" s="236"/>
      <c r="D204" s="236"/>
      <c r="E204" s="236"/>
      <c r="F204" s="236"/>
      <c r="G204" s="236"/>
      <c r="H204" s="236"/>
    </row>
    <row r="205" spans="2:9" ht="30" x14ac:dyDescent="0.25">
      <c r="B205" s="38" t="s">
        <v>1009</v>
      </c>
      <c r="C205" s="39" t="s">
        <v>1004</v>
      </c>
      <c r="D205" s="39" t="s">
        <v>1005</v>
      </c>
      <c r="E205" s="39" t="s">
        <v>1602</v>
      </c>
      <c r="F205" s="39" t="s">
        <v>1600</v>
      </c>
      <c r="G205" s="39" t="s">
        <v>1601</v>
      </c>
      <c r="H205" s="39" t="s">
        <v>1048</v>
      </c>
      <c r="I205" s="38" t="s">
        <v>1035</v>
      </c>
    </row>
    <row r="206" spans="2:9" x14ac:dyDescent="0.25">
      <c r="B206" s="74" t="s">
        <v>1593</v>
      </c>
      <c r="C206" s="43">
        <v>13.1</v>
      </c>
      <c r="D206" s="43">
        <v>2.6</v>
      </c>
      <c r="E206" s="43">
        <f>C206*D206</f>
        <v>34.06</v>
      </c>
      <c r="F206" s="43">
        <f>(2*C132)+(4*C134)</f>
        <v>7.04</v>
      </c>
      <c r="G206" s="43">
        <f>E206-F206</f>
        <v>27.020000000000003</v>
      </c>
      <c r="H206" s="43">
        <f>2*5*10</f>
        <v>100</v>
      </c>
      <c r="I206" s="98">
        <f>G206*H206</f>
        <v>2702.0000000000005</v>
      </c>
    </row>
    <row r="207" spans="2:9" x14ac:dyDescent="0.25">
      <c r="B207" s="74" t="s">
        <v>1595</v>
      </c>
      <c r="C207" s="43">
        <v>3.4</v>
      </c>
      <c r="D207" s="43">
        <v>2.6</v>
      </c>
      <c r="E207" s="43">
        <f t="shared" ref="E207:E208" si="20">C207*D207</f>
        <v>8.84</v>
      </c>
      <c r="F207" s="43">
        <f>C133+C135</f>
        <v>3.2</v>
      </c>
      <c r="G207" s="43">
        <f t="shared" ref="G207:G211" si="21">E207-F207</f>
        <v>5.64</v>
      </c>
      <c r="H207" s="43">
        <f>2*5*10</f>
        <v>100</v>
      </c>
      <c r="I207" s="98">
        <f t="shared" ref="I207:I211" si="22">G207*H207</f>
        <v>564</v>
      </c>
    </row>
    <row r="208" spans="2:9" ht="30" x14ac:dyDescent="0.25">
      <c r="B208" s="74" t="s">
        <v>1597</v>
      </c>
      <c r="C208" s="43">
        <v>4.9000000000000004</v>
      </c>
      <c r="D208" s="43">
        <v>2.6</v>
      </c>
      <c r="E208" s="43">
        <f t="shared" si="20"/>
        <v>12.740000000000002</v>
      </c>
      <c r="F208" s="43">
        <f>C133+C135</f>
        <v>3.2</v>
      </c>
      <c r="G208" s="43">
        <f t="shared" si="21"/>
        <v>9.5400000000000027</v>
      </c>
      <c r="H208" s="43">
        <f t="shared" ref="H208" si="23">2*5*10</f>
        <v>100</v>
      </c>
      <c r="I208" s="98">
        <f t="shared" si="22"/>
        <v>954.00000000000023</v>
      </c>
    </row>
    <row r="209" spans="2:9" ht="30" x14ac:dyDescent="0.25">
      <c r="B209" s="74" t="s">
        <v>1603</v>
      </c>
      <c r="C209" s="43">
        <v>5</v>
      </c>
      <c r="D209" s="43">
        <v>2.6</v>
      </c>
      <c r="E209" s="43">
        <f>C209*D209</f>
        <v>13</v>
      </c>
      <c r="F209" s="43">
        <f>C136+C132</f>
        <v>2.2149999999999999</v>
      </c>
      <c r="G209" s="43">
        <f t="shared" si="21"/>
        <v>10.785</v>
      </c>
      <c r="H209" s="43">
        <v>10</v>
      </c>
      <c r="I209" s="98">
        <f t="shared" si="22"/>
        <v>107.85</v>
      </c>
    </row>
    <row r="210" spans="2:9" ht="30" x14ac:dyDescent="0.25">
      <c r="B210" s="74" t="s">
        <v>1604</v>
      </c>
      <c r="C210" s="43">
        <v>5</v>
      </c>
      <c r="D210" s="43">
        <v>2.6</v>
      </c>
      <c r="E210" s="43">
        <f t="shared" ref="E210:E211" si="24">C210*D210</f>
        <v>13</v>
      </c>
      <c r="F210" s="43">
        <f>2*C132</f>
        <v>1.28</v>
      </c>
      <c r="G210" s="43">
        <f t="shared" si="21"/>
        <v>11.72</v>
      </c>
      <c r="H210" s="43">
        <f>10*4</f>
        <v>40</v>
      </c>
      <c r="I210" s="98">
        <f t="shared" si="22"/>
        <v>468.8</v>
      </c>
    </row>
    <row r="211" spans="2:9" ht="30" x14ac:dyDescent="0.25">
      <c r="B211" s="74" t="s">
        <v>1607</v>
      </c>
      <c r="C211" s="43">
        <v>5</v>
      </c>
      <c r="D211" s="43">
        <v>2.6</v>
      </c>
      <c r="E211" s="43">
        <f t="shared" si="24"/>
        <v>13</v>
      </c>
      <c r="F211" s="43">
        <f>C137</f>
        <v>2.73</v>
      </c>
      <c r="G211" s="43">
        <f t="shared" si="21"/>
        <v>10.27</v>
      </c>
      <c r="H211" s="43">
        <v>10</v>
      </c>
      <c r="I211" s="98">
        <f t="shared" si="22"/>
        <v>102.69999999999999</v>
      </c>
    </row>
    <row r="212" spans="2:9" x14ac:dyDescent="0.25">
      <c r="B212" s="150"/>
      <c r="C212" s="151"/>
      <c r="D212" s="151"/>
      <c r="E212" s="151"/>
      <c r="F212" s="151"/>
      <c r="G212" s="151"/>
      <c r="H212" s="151"/>
      <c r="I212" s="115">
        <f>SUM(I206:I211)</f>
        <v>4899.3500000000013</v>
      </c>
    </row>
    <row r="213" spans="2:9" ht="15.75" x14ac:dyDescent="0.25">
      <c r="B213" s="235" t="s">
        <v>1099</v>
      </c>
      <c r="C213" s="236"/>
      <c r="D213" s="236"/>
      <c r="E213" s="236"/>
      <c r="F213" s="236"/>
      <c r="G213" s="236"/>
      <c r="H213" s="236"/>
    </row>
    <row r="214" spans="2:9" x14ac:dyDescent="0.25">
      <c r="B214" t="s">
        <v>1059</v>
      </c>
      <c r="C214" s="117">
        <f>H203+I212</f>
        <v>12618.550000000001</v>
      </c>
    </row>
    <row r="215" spans="2:9" x14ac:dyDescent="0.25">
      <c r="B215" t="s">
        <v>1100</v>
      </c>
      <c r="C215" s="107">
        <f>2.2*C214</f>
        <v>27760.810000000005</v>
      </c>
    </row>
    <row r="217" spans="2:9" ht="15.75" x14ac:dyDescent="0.25">
      <c r="B217" s="235" t="s">
        <v>1101</v>
      </c>
      <c r="C217" s="236"/>
      <c r="D217" s="236"/>
      <c r="E217" s="236"/>
      <c r="F217" s="236"/>
      <c r="G217" s="236"/>
      <c r="H217" s="236"/>
    </row>
    <row r="218" spans="2:9" ht="30" x14ac:dyDescent="0.25">
      <c r="B218" s="38" t="s">
        <v>1088</v>
      </c>
      <c r="C218" s="39" t="s">
        <v>1096</v>
      </c>
      <c r="D218" s="39" t="s">
        <v>1057</v>
      </c>
      <c r="E218" s="39" t="s">
        <v>1022</v>
      </c>
      <c r="F218" s="39" t="s">
        <v>1104</v>
      </c>
      <c r="G218" s="39" t="s">
        <v>1058</v>
      </c>
      <c r="H218" s="39" t="s">
        <v>1048</v>
      </c>
      <c r="I218" s="38" t="s">
        <v>1035</v>
      </c>
    </row>
    <row r="219" spans="2:9" x14ac:dyDescent="0.25">
      <c r="B219" s="106" t="s">
        <v>1034</v>
      </c>
      <c r="C219" s="43">
        <v>2.5499999999999998</v>
      </c>
      <c r="D219" s="43">
        <v>2.6</v>
      </c>
      <c r="E219" s="43">
        <v>0.1</v>
      </c>
      <c r="F219" s="43">
        <f t="shared" ref="F219:F230" si="25">C219*D219*E219</f>
        <v>0.66300000000000003</v>
      </c>
      <c r="G219" s="43">
        <v>0</v>
      </c>
      <c r="H219" s="43">
        <f>4*5*10</f>
        <v>200</v>
      </c>
      <c r="I219" s="98">
        <f>(F219-G219)*H219</f>
        <v>132.6</v>
      </c>
    </row>
    <row r="220" spans="2:9" x14ac:dyDescent="0.25">
      <c r="B220" s="106" t="s">
        <v>1032</v>
      </c>
      <c r="C220" s="43">
        <v>2.0499999999999998</v>
      </c>
      <c r="D220" s="43">
        <v>2.6</v>
      </c>
      <c r="E220" s="43">
        <v>0.1</v>
      </c>
      <c r="F220" s="43">
        <f t="shared" si="25"/>
        <v>0.53300000000000003</v>
      </c>
      <c r="G220" s="43">
        <v>0</v>
      </c>
      <c r="H220" s="43">
        <f t="shared" ref="H220:H229" si="26">4*5*10</f>
        <v>200</v>
      </c>
      <c r="I220" s="98">
        <f t="shared" ref="I220:I223" si="27">(F220-G220)*H220</f>
        <v>106.60000000000001</v>
      </c>
    </row>
    <row r="221" spans="2:9" x14ac:dyDescent="0.25">
      <c r="B221" s="106" t="s">
        <v>1033</v>
      </c>
      <c r="C221" s="116">
        <f>0.8+0.15</f>
        <v>0.95000000000000007</v>
      </c>
      <c r="D221" s="43">
        <v>2.6</v>
      </c>
      <c r="E221" s="43">
        <v>0.05</v>
      </c>
      <c r="F221" s="43">
        <f t="shared" si="25"/>
        <v>0.12350000000000001</v>
      </c>
      <c r="G221" s="43">
        <v>0</v>
      </c>
      <c r="H221" s="43">
        <f t="shared" si="26"/>
        <v>200</v>
      </c>
      <c r="I221" s="98">
        <f t="shared" si="27"/>
        <v>24.700000000000003</v>
      </c>
    </row>
    <row r="222" spans="2:9" x14ac:dyDescent="0.25">
      <c r="B222" s="106" t="s">
        <v>1086</v>
      </c>
      <c r="C222" s="43">
        <v>1.35</v>
      </c>
      <c r="D222" s="43">
        <v>2.6</v>
      </c>
      <c r="E222" s="43">
        <v>0.1</v>
      </c>
      <c r="F222" s="43">
        <f t="shared" si="25"/>
        <v>0.35100000000000003</v>
      </c>
      <c r="G222" s="43">
        <f>0.7*2.1*0.1</f>
        <v>0.14699999999999999</v>
      </c>
      <c r="H222" s="43">
        <f t="shared" si="26"/>
        <v>200</v>
      </c>
      <c r="I222" s="98">
        <f t="shared" si="27"/>
        <v>40.800000000000011</v>
      </c>
    </row>
    <row r="223" spans="2:9" x14ac:dyDescent="0.25">
      <c r="B223" s="106" t="s">
        <v>1089</v>
      </c>
      <c r="C223" s="43">
        <v>3.1</v>
      </c>
      <c r="D223" s="43">
        <v>2.6</v>
      </c>
      <c r="E223" s="43">
        <v>0.1</v>
      </c>
      <c r="F223" s="43">
        <f t="shared" si="25"/>
        <v>0.80600000000000005</v>
      </c>
      <c r="G223" s="43">
        <f>0.8*2.1*0.1</f>
        <v>0.16800000000000004</v>
      </c>
      <c r="H223" s="43">
        <f t="shared" si="26"/>
        <v>200</v>
      </c>
      <c r="I223" s="98">
        <f t="shared" si="27"/>
        <v>127.60000000000001</v>
      </c>
    </row>
    <row r="224" spans="2:9" x14ac:dyDescent="0.25">
      <c r="B224" s="106" t="s">
        <v>1090</v>
      </c>
      <c r="C224" s="43">
        <v>2.65</v>
      </c>
      <c r="D224" s="43">
        <v>2.6</v>
      </c>
      <c r="E224" s="43">
        <v>0.1</v>
      </c>
      <c r="F224" s="43">
        <f t="shared" si="25"/>
        <v>0.68900000000000006</v>
      </c>
      <c r="G224" s="43">
        <v>0</v>
      </c>
      <c r="H224" s="43">
        <f t="shared" si="26"/>
        <v>200</v>
      </c>
      <c r="I224" s="98">
        <f>F224*H224</f>
        <v>137.80000000000001</v>
      </c>
    </row>
    <row r="225" spans="2:9" x14ac:dyDescent="0.25">
      <c r="B225" s="106" t="s">
        <v>1091</v>
      </c>
      <c r="C225" s="43">
        <v>1.05</v>
      </c>
      <c r="D225" s="43">
        <v>2.6</v>
      </c>
      <c r="E225" s="43">
        <v>0.1</v>
      </c>
      <c r="F225" s="43">
        <f t="shared" si="25"/>
        <v>0.27300000000000008</v>
      </c>
      <c r="G225" s="43">
        <f>0.8*2.1*0.1</f>
        <v>0.16800000000000004</v>
      </c>
      <c r="H225" s="43">
        <f t="shared" si="26"/>
        <v>200</v>
      </c>
      <c r="I225" s="98">
        <f t="shared" ref="I225:I228" si="28">(F225-G225)*H225</f>
        <v>21.000000000000007</v>
      </c>
    </row>
    <row r="226" spans="2:9" x14ac:dyDescent="0.25">
      <c r="B226" s="106" t="s">
        <v>1092</v>
      </c>
      <c r="C226" s="43">
        <v>1.2</v>
      </c>
      <c r="D226" s="43">
        <v>1.2</v>
      </c>
      <c r="E226" s="43">
        <v>0.1</v>
      </c>
      <c r="F226" s="43">
        <f t="shared" si="25"/>
        <v>0.14399999999999999</v>
      </c>
      <c r="G226" s="43">
        <v>0</v>
      </c>
      <c r="H226" s="43">
        <f t="shared" si="26"/>
        <v>200</v>
      </c>
      <c r="I226" s="98">
        <f t="shared" si="28"/>
        <v>28.799999999999997</v>
      </c>
    </row>
    <row r="227" spans="2:9" x14ac:dyDescent="0.25">
      <c r="B227" s="106" t="s">
        <v>1093</v>
      </c>
      <c r="C227" s="43">
        <v>0.75</v>
      </c>
      <c r="D227" s="43">
        <v>2.6</v>
      </c>
      <c r="E227" s="43">
        <v>0.1</v>
      </c>
      <c r="F227" s="43">
        <f t="shared" si="25"/>
        <v>0.19500000000000003</v>
      </c>
      <c r="G227" s="43">
        <v>0</v>
      </c>
      <c r="H227" s="43">
        <f t="shared" si="26"/>
        <v>200</v>
      </c>
      <c r="I227" s="98">
        <f t="shared" si="28"/>
        <v>39.000000000000007</v>
      </c>
    </row>
    <row r="228" spans="2:9" x14ac:dyDescent="0.25">
      <c r="B228" s="106" t="s">
        <v>1094</v>
      </c>
      <c r="C228" s="116">
        <f>0.15+0.75</f>
        <v>0.9</v>
      </c>
      <c r="D228" s="43">
        <v>2.6</v>
      </c>
      <c r="E228" s="43">
        <v>0.05</v>
      </c>
      <c r="F228" s="43">
        <f t="shared" si="25"/>
        <v>0.11700000000000002</v>
      </c>
      <c r="G228" s="43">
        <v>0</v>
      </c>
      <c r="H228" s="43">
        <f t="shared" si="26"/>
        <v>200</v>
      </c>
      <c r="I228" s="98">
        <f t="shared" si="28"/>
        <v>23.400000000000006</v>
      </c>
    </row>
    <row r="229" spans="2:9" x14ac:dyDescent="0.25">
      <c r="B229" s="106" t="s">
        <v>1095</v>
      </c>
      <c r="C229" s="116">
        <f>0.55+0.2</f>
        <v>0.75</v>
      </c>
      <c r="D229" s="43">
        <v>2.6</v>
      </c>
      <c r="E229" s="43">
        <v>0.05</v>
      </c>
      <c r="F229" s="43">
        <f t="shared" si="25"/>
        <v>9.7500000000000017E-2</v>
      </c>
      <c r="G229" s="43">
        <v>0</v>
      </c>
      <c r="H229" s="43">
        <f t="shared" si="26"/>
        <v>200</v>
      </c>
      <c r="I229" s="98">
        <f>F229*H229</f>
        <v>19.500000000000004</v>
      </c>
    </row>
    <row r="230" spans="2:9" x14ac:dyDescent="0.25">
      <c r="B230" s="106" t="s">
        <v>1106</v>
      </c>
      <c r="C230" s="116">
        <v>1.2</v>
      </c>
      <c r="D230" s="43">
        <v>2.1</v>
      </c>
      <c r="E230" s="43">
        <v>0.1</v>
      </c>
      <c r="F230" s="43">
        <f t="shared" si="25"/>
        <v>0.252</v>
      </c>
      <c r="G230" s="43">
        <v>0</v>
      </c>
      <c r="H230" s="43">
        <v>10</v>
      </c>
      <c r="I230" s="98">
        <f>F230*H230</f>
        <v>2.52</v>
      </c>
    </row>
    <row r="231" spans="2:9" x14ac:dyDescent="0.25">
      <c r="I231" s="107">
        <f>SUM(I219:I230)</f>
        <v>704.31999999999994</v>
      </c>
    </row>
    <row r="232" spans="2:9" ht="15.75" x14ac:dyDescent="0.25">
      <c r="B232" s="235" t="s">
        <v>1102</v>
      </c>
      <c r="C232" s="236"/>
      <c r="D232" s="236"/>
      <c r="E232" s="236"/>
      <c r="F232" s="236"/>
      <c r="G232" s="236"/>
      <c r="H232" s="236"/>
    </row>
    <row r="233" spans="2:9" x14ac:dyDescent="0.25">
      <c r="B233" s="108" t="s">
        <v>1105</v>
      </c>
      <c r="C233" s="109">
        <f>0.1*K127</f>
        <v>489.93500000000017</v>
      </c>
    </row>
    <row r="234" spans="2:9" x14ac:dyDescent="0.25">
      <c r="C234" s="107">
        <f>C233</f>
        <v>489.93500000000017</v>
      </c>
    </row>
    <row r="235" spans="2:9" ht="15.75" x14ac:dyDescent="0.25">
      <c r="B235" s="235" t="s">
        <v>1103</v>
      </c>
      <c r="C235" s="236"/>
      <c r="D235" s="236"/>
      <c r="E235" s="236"/>
      <c r="F235" s="236"/>
      <c r="G235" s="236"/>
      <c r="H235" s="236"/>
    </row>
    <row r="236" spans="2:9" x14ac:dyDescent="0.25">
      <c r="B236" t="s">
        <v>1105</v>
      </c>
      <c r="C236" s="107">
        <f>C234+I231</f>
        <v>1194.2550000000001</v>
      </c>
    </row>
    <row r="238" spans="2:9" ht="15.75" x14ac:dyDescent="0.25">
      <c r="B238" s="235" t="s">
        <v>1065</v>
      </c>
      <c r="C238" s="236"/>
      <c r="D238" s="236"/>
      <c r="E238" s="236"/>
      <c r="F238" s="236"/>
    </row>
    <row r="239" spans="2:9" ht="30" x14ac:dyDescent="0.25">
      <c r="B239" s="38" t="s">
        <v>1042</v>
      </c>
      <c r="C239" s="39" t="s">
        <v>1066</v>
      </c>
      <c r="D239" s="39" t="s">
        <v>1067</v>
      </c>
      <c r="E239" s="39" t="s">
        <v>1047</v>
      </c>
      <c r="F239" s="38" t="s">
        <v>1072</v>
      </c>
      <c r="G239" t="s">
        <v>1073</v>
      </c>
    </row>
    <row r="240" spans="2:9" x14ac:dyDescent="0.25">
      <c r="B240" s="106" t="s">
        <v>1043</v>
      </c>
      <c r="C240" s="43">
        <v>1</v>
      </c>
      <c r="D240" s="43">
        <f>4*5*10</f>
        <v>200</v>
      </c>
      <c r="E240" s="61"/>
      <c r="F240" s="110">
        <f>D240*C240</f>
        <v>200</v>
      </c>
    </row>
    <row r="241" spans="2:7" x14ac:dyDescent="0.25">
      <c r="B241" s="106" t="s">
        <v>1064</v>
      </c>
      <c r="C241" s="43">
        <v>1</v>
      </c>
      <c r="D241" s="43">
        <v>10</v>
      </c>
      <c r="E241" s="61"/>
      <c r="F241" s="110">
        <f>D241*C241</f>
        <v>10</v>
      </c>
    </row>
    <row r="242" spans="2:7" x14ac:dyDescent="0.25">
      <c r="B242" s="106" t="s">
        <v>1068</v>
      </c>
      <c r="C242" s="43">
        <v>2</v>
      </c>
      <c r="D242" s="43">
        <f>4*10</f>
        <v>40</v>
      </c>
      <c r="E242" s="61"/>
      <c r="F242" s="110">
        <f>D242*C242</f>
        <v>80</v>
      </c>
    </row>
    <row r="243" spans="2:7" x14ac:dyDescent="0.25">
      <c r="B243" s="237"/>
      <c r="C243" s="238"/>
      <c r="D243" s="239"/>
      <c r="E243" s="111">
        <v>0.64</v>
      </c>
      <c r="F243" s="98">
        <f>SUM(F240:F242)</f>
        <v>290</v>
      </c>
      <c r="G243">
        <f>F243*E243</f>
        <v>185.6</v>
      </c>
    </row>
    <row r="244" spans="2:7" x14ac:dyDescent="0.25">
      <c r="B244" s="106" t="s">
        <v>1044</v>
      </c>
      <c r="C244" s="43">
        <v>1</v>
      </c>
      <c r="D244" s="43">
        <f>4*5*10</f>
        <v>200</v>
      </c>
      <c r="E244" s="61">
        <v>1.2</v>
      </c>
      <c r="F244" s="98">
        <f t="shared" ref="F244:F252" si="29">D244*C244</f>
        <v>200</v>
      </c>
      <c r="G244">
        <f t="shared" ref="G244:G252" si="30">F244*E244</f>
        <v>240</v>
      </c>
    </row>
    <row r="245" spans="2:7" x14ac:dyDescent="0.25">
      <c r="B245" s="106" t="s">
        <v>1045</v>
      </c>
      <c r="C245" s="43">
        <v>2</v>
      </c>
      <c r="D245" s="43">
        <f>4*5*10</f>
        <v>200</v>
      </c>
      <c r="E245" s="61">
        <v>1.44</v>
      </c>
      <c r="F245" s="98">
        <f t="shared" si="29"/>
        <v>400</v>
      </c>
      <c r="G245">
        <f t="shared" si="30"/>
        <v>576</v>
      </c>
    </row>
    <row r="246" spans="2:7" x14ac:dyDescent="0.25">
      <c r="B246" s="106" t="s">
        <v>1046</v>
      </c>
      <c r="C246" s="43">
        <v>1</v>
      </c>
      <c r="D246" s="43">
        <f>4*5*10</f>
        <v>200</v>
      </c>
      <c r="E246" s="61">
        <v>2</v>
      </c>
      <c r="F246" s="98">
        <f t="shared" si="29"/>
        <v>200</v>
      </c>
      <c r="G246">
        <f t="shared" si="30"/>
        <v>400</v>
      </c>
    </row>
    <row r="247" spans="2:7" x14ac:dyDescent="0.25">
      <c r="B247" s="106" t="s">
        <v>1061</v>
      </c>
      <c r="C247" s="43">
        <v>8</v>
      </c>
      <c r="D247" s="43">
        <v>10</v>
      </c>
      <c r="E247" s="61">
        <v>0.16</v>
      </c>
      <c r="F247" s="98">
        <f t="shared" si="29"/>
        <v>80</v>
      </c>
      <c r="G247">
        <f t="shared" si="30"/>
        <v>12.8</v>
      </c>
    </row>
    <row r="248" spans="2:7" x14ac:dyDescent="0.25">
      <c r="B248" s="106" t="s">
        <v>1069</v>
      </c>
      <c r="C248" s="43">
        <v>1</v>
      </c>
      <c r="D248" s="43">
        <f>4*5*10</f>
        <v>200</v>
      </c>
      <c r="E248" s="61">
        <v>1.47</v>
      </c>
      <c r="F248" s="98">
        <f t="shared" si="29"/>
        <v>200</v>
      </c>
      <c r="G248">
        <f t="shared" si="30"/>
        <v>294</v>
      </c>
    </row>
    <row r="249" spans="2:7" x14ac:dyDescent="0.25">
      <c r="B249" s="106" t="s">
        <v>1070</v>
      </c>
      <c r="C249" s="43">
        <v>2</v>
      </c>
      <c r="D249" s="43">
        <f>4*5*10</f>
        <v>200</v>
      </c>
      <c r="E249" s="61">
        <v>1.68</v>
      </c>
      <c r="F249" s="98">
        <f t="shared" si="29"/>
        <v>400</v>
      </c>
      <c r="G249">
        <f t="shared" si="30"/>
        <v>672</v>
      </c>
    </row>
    <row r="250" spans="2:7" x14ac:dyDescent="0.25">
      <c r="B250" s="106" t="s">
        <v>1071</v>
      </c>
      <c r="C250" s="43">
        <v>1</v>
      </c>
      <c r="D250" s="43">
        <f>4*5*10</f>
        <v>200</v>
      </c>
      <c r="E250" s="61">
        <v>1.89</v>
      </c>
      <c r="F250" s="98">
        <f t="shared" si="29"/>
        <v>200</v>
      </c>
      <c r="G250">
        <f t="shared" si="30"/>
        <v>378</v>
      </c>
    </row>
    <row r="251" spans="2:7" x14ac:dyDescent="0.25">
      <c r="B251" s="106" t="s">
        <v>1062</v>
      </c>
      <c r="C251" s="43">
        <v>1</v>
      </c>
      <c r="D251" s="43">
        <v>10</v>
      </c>
      <c r="E251" s="61">
        <v>1.575</v>
      </c>
      <c r="F251" s="98">
        <f t="shared" si="29"/>
        <v>10</v>
      </c>
      <c r="G251">
        <f t="shared" si="30"/>
        <v>15.75</v>
      </c>
    </row>
    <row r="252" spans="2:7" x14ac:dyDescent="0.25">
      <c r="B252" s="106" t="s">
        <v>1063</v>
      </c>
      <c r="C252" s="43">
        <v>1</v>
      </c>
      <c r="D252" s="43">
        <v>10</v>
      </c>
      <c r="E252" s="61">
        <v>2.73</v>
      </c>
      <c r="F252" s="98">
        <f t="shared" si="29"/>
        <v>10</v>
      </c>
      <c r="G252">
        <f t="shared" si="30"/>
        <v>27.3</v>
      </c>
    </row>
    <row r="254" spans="2:7" ht="15.75" x14ac:dyDescent="0.25">
      <c r="B254" s="235" t="s">
        <v>1074</v>
      </c>
      <c r="C254" s="236"/>
    </row>
    <row r="255" spans="2:7" x14ac:dyDescent="0.25">
      <c r="B255" s="39" t="s">
        <v>1004</v>
      </c>
      <c r="C255" s="38" t="s">
        <v>1075</v>
      </c>
    </row>
    <row r="256" spans="2:7" x14ac:dyDescent="0.25">
      <c r="B256" s="61">
        <f>(1.38+(2*2.91)+1.39+(4*0.9)+(2*1.2))*4*10</f>
        <v>583.6</v>
      </c>
      <c r="C256" s="110">
        <f>B256</f>
        <v>583.6</v>
      </c>
    </row>
    <row r="258" spans="2:7" ht="15.75" x14ac:dyDescent="0.25">
      <c r="B258" s="235" t="s">
        <v>1107</v>
      </c>
      <c r="C258" s="236"/>
    </row>
    <row r="259" spans="2:7" x14ac:dyDescent="0.25">
      <c r="B259" s="39" t="s">
        <v>1047</v>
      </c>
      <c r="C259" s="38" t="s">
        <v>994</v>
      </c>
      <c r="D259" s="38" t="s">
        <v>1075</v>
      </c>
    </row>
    <row r="260" spans="2:7" x14ac:dyDescent="0.25">
      <c r="B260" s="61">
        <f>(2.88+(0.59*2)+1.39+1.38)*1.2</f>
        <v>8.195999999999998</v>
      </c>
      <c r="C260" s="61">
        <f>4*10</f>
        <v>40</v>
      </c>
      <c r="D260" s="98">
        <f>C260*B260</f>
        <v>327.83999999999992</v>
      </c>
    </row>
    <row r="263" spans="2:7" ht="15.75" x14ac:dyDescent="0.25">
      <c r="B263" s="235" t="s">
        <v>1076</v>
      </c>
      <c r="C263" s="236"/>
      <c r="D263" s="236"/>
      <c r="E263" s="236"/>
      <c r="F263" s="236"/>
    </row>
    <row r="264" spans="2:7" ht="30" x14ac:dyDescent="0.25">
      <c r="B264" s="38" t="s">
        <v>1042</v>
      </c>
      <c r="C264" s="39" t="s">
        <v>1066</v>
      </c>
      <c r="D264" s="39" t="s">
        <v>1067</v>
      </c>
      <c r="E264" s="39" t="s">
        <v>1047</v>
      </c>
      <c r="F264" s="38" t="s">
        <v>1072</v>
      </c>
      <c r="G264" t="s">
        <v>1073</v>
      </c>
    </row>
    <row r="265" spans="2:7" x14ac:dyDescent="0.25">
      <c r="B265" s="106" t="s">
        <v>1069</v>
      </c>
      <c r="C265" s="43">
        <v>1</v>
      </c>
      <c r="D265" s="43">
        <f>4*5*10</f>
        <v>200</v>
      </c>
      <c r="E265" s="61">
        <f>1.47*2</f>
        <v>2.94</v>
      </c>
      <c r="F265" s="98">
        <f>D265*C265</f>
        <v>200</v>
      </c>
      <c r="G265">
        <f t="shared" ref="G265:G267" si="31">F265*E265</f>
        <v>588</v>
      </c>
    </row>
    <row r="266" spans="2:7" x14ac:dyDescent="0.25">
      <c r="B266" s="106" t="s">
        <v>1070</v>
      </c>
      <c r="C266" s="43">
        <v>2</v>
      </c>
      <c r="D266" s="43">
        <f>4*5*10</f>
        <v>200</v>
      </c>
      <c r="E266" s="61">
        <f>1.68*2</f>
        <v>3.36</v>
      </c>
      <c r="F266" s="98">
        <f>D266*C266</f>
        <v>400</v>
      </c>
      <c r="G266">
        <f t="shared" si="31"/>
        <v>1344</v>
      </c>
    </row>
    <row r="267" spans="2:7" x14ac:dyDescent="0.25">
      <c r="B267" s="106" t="s">
        <v>1071</v>
      </c>
      <c r="C267" s="43">
        <v>1</v>
      </c>
      <c r="D267" s="43">
        <f>4*5*10</f>
        <v>200</v>
      </c>
      <c r="E267" s="61">
        <f>1.89*2</f>
        <v>3.78</v>
      </c>
      <c r="F267" s="98">
        <f>D267*C267</f>
        <v>200</v>
      </c>
      <c r="G267">
        <f t="shared" si="31"/>
        <v>756</v>
      </c>
    </row>
    <row r="268" spans="2:7" x14ac:dyDescent="0.25">
      <c r="G268" s="98">
        <f>SUM(G265:G267)</f>
        <v>2688</v>
      </c>
    </row>
    <row r="271" spans="2:7" ht="15.75" x14ac:dyDescent="0.25">
      <c r="B271" s="235" t="s">
        <v>1077</v>
      </c>
      <c r="C271" s="236"/>
    </row>
    <row r="272" spans="2:7" x14ac:dyDescent="0.25">
      <c r="B272" s="38" t="s">
        <v>1009</v>
      </c>
      <c r="C272" s="41" t="s">
        <v>990</v>
      </c>
    </row>
    <row r="273" spans="2:8" x14ac:dyDescent="0.25">
      <c r="B273" s="44" t="s">
        <v>1078</v>
      </c>
      <c r="C273" s="98">
        <v>2073.6</v>
      </c>
    </row>
    <row r="274" spans="2:8" x14ac:dyDescent="0.25">
      <c r="B274" s="44" t="s">
        <v>1079</v>
      </c>
      <c r="C274" s="98">
        <v>8617.35</v>
      </c>
    </row>
    <row r="275" spans="2:8" x14ac:dyDescent="0.25">
      <c r="C275" s="98">
        <f>SUM(C273:C274)</f>
        <v>10690.95</v>
      </c>
    </row>
    <row r="277" spans="2:8" ht="30.75" customHeight="1" x14ac:dyDescent="0.25">
      <c r="B277" s="230" t="s">
        <v>1630</v>
      </c>
      <c r="C277" s="231"/>
    </row>
    <row r="278" spans="2:8" x14ac:dyDescent="0.25">
      <c r="B278" s="38" t="s">
        <v>1009</v>
      </c>
      <c r="C278" s="41">
        <f>24+(36.59*4)</f>
        <v>170.36</v>
      </c>
    </row>
    <row r="279" spans="2:8" x14ac:dyDescent="0.25">
      <c r="B279" s="44" t="s">
        <v>1551</v>
      </c>
      <c r="C279" s="98">
        <v>5</v>
      </c>
    </row>
    <row r="280" spans="2:8" x14ac:dyDescent="0.25">
      <c r="B280" s="44" t="s">
        <v>1552</v>
      </c>
      <c r="C280" s="98">
        <v>10</v>
      </c>
    </row>
    <row r="281" spans="2:8" x14ac:dyDescent="0.25">
      <c r="C281" s="98">
        <f>(C278*C279*C280)</f>
        <v>8518</v>
      </c>
    </row>
    <row r="284" spans="2:8" ht="36.75" customHeight="1" x14ac:dyDescent="0.25">
      <c r="B284" s="230" t="s">
        <v>1250</v>
      </c>
      <c r="C284" s="231"/>
      <c r="D284" s="231"/>
      <c r="E284" s="231"/>
      <c r="F284" s="231"/>
      <c r="G284" s="231"/>
      <c r="H284" s="231"/>
    </row>
    <row r="285" spans="2:8" ht="21.75" customHeight="1" x14ac:dyDescent="0.25">
      <c r="B285" s="38" t="s">
        <v>1727</v>
      </c>
      <c r="C285" s="38" t="s">
        <v>1728</v>
      </c>
      <c r="D285" s="38" t="s">
        <v>1599</v>
      </c>
      <c r="E285" s="38" t="s">
        <v>1730</v>
      </c>
      <c r="F285" s="38" t="s">
        <v>1602</v>
      </c>
      <c r="G285" s="38" t="s">
        <v>1048</v>
      </c>
      <c r="H285" s="41" t="s">
        <v>1729</v>
      </c>
    </row>
    <row r="286" spans="2:8" x14ac:dyDescent="0.25">
      <c r="B286" s="38" t="s">
        <v>1050</v>
      </c>
      <c r="C286" s="38">
        <v>11.3</v>
      </c>
      <c r="D286" s="38">
        <v>2.6</v>
      </c>
      <c r="E286" s="38">
        <v>3.12</v>
      </c>
      <c r="F286" s="38">
        <f>(C286*D286)-E286</f>
        <v>26.26</v>
      </c>
      <c r="G286" s="38">
        <f>4*5*10</f>
        <v>200</v>
      </c>
      <c r="H286" s="41">
        <f>F286*G286</f>
        <v>5252</v>
      </c>
    </row>
    <row r="287" spans="2:8" x14ac:dyDescent="0.25">
      <c r="B287" s="44" t="s">
        <v>1051</v>
      </c>
      <c r="C287" s="44">
        <v>11.3</v>
      </c>
      <c r="D287" s="38">
        <v>2.6</v>
      </c>
      <c r="E287" s="38">
        <v>3.12</v>
      </c>
      <c r="F287" s="38">
        <f t="shared" ref="F287:F290" si="32">(C287*D287)-E287</f>
        <v>26.26</v>
      </c>
      <c r="G287" s="38">
        <f t="shared" ref="G287:G289" si="33">4*5*10</f>
        <v>200</v>
      </c>
      <c r="H287" s="41">
        <f t="shared" ref="H287:H290" si="34">F287*G287</f>
        <v>5252</v>
      </c>
    </row>
    <row r="288" spans="2:8" x14ac:dyDescent="0.25">
      <c r="B288" s="44" t="s">
        <v>1731</v>
      </c>
      <c r="C288" s="44">
        <v>3.2</v>
      </c>
      <c r="D288" s="38">
        <v>2.6</v>
      </c>
      <c r="E288" s="38">
        <v>4.83</v>
      </c>
      <c r="F288" s="38">
        <f t="shared" si="32"/>
        <v>3.49</v>
      </c>
      <c r="G288" s="38">
        <v>200</v>
      </c>
      <c r="H288" s="41">
        <f t="shared" si="34"/>
        <v>698</v>
      </c>
    </row>
    <row r="289" spans="2:8" x14ac:dyDescent="0.25">
      <c r="B289" s="44" t="s">
        <v>1054</v>
      </c>
      <c r="C289" s="44">
        <v>10.8</v>
      </c>
      <c r="D289" s="38">
        <v>2.6</v>
      </c>
      <c r="E289" s="44">
        <v>3.89</v>
      </c>
      <c r="F289" s="38">
        <f t="shared" si="32"/>
        <v>24.19</v>
      </c>
      <c r="G289" s="38">
        <f t="shared" si="33"/>
        <v>200</v>
      </c>
      <c r="H289" s="41">
        <f t="shared" si="34"/>
        <v>4838</v>
      </c>
    </row>
    <row r="290" spans="2:8" ht="12.75" customHeight="1" x14ac:dyDescent="0.25">
      <c r="B290" s="44" t="s">
        <v>1726</v>
      </c>
      <c r="C290" s="44">
        <v>22.22</v>
      </c>
      <c r="D290" s="38">
        <v>2.6</v>
      </c>
      <c r="E290" s="44">
        <v>8.84</v>
      </c>
      <c r="F290" s="38">
        <f t="shared" si="32"/>
        <v>48.932000000000002</v>
      </c>
      <c r="G290" s="38">
        <f>5*10</f>
        <v>50</v>
      </c>
      <c r="H290" s="41">
        <f t="shared" si="34"/>
        <v>2446.6</v>
      </c>
    </row>
    <row r="291" spans="2:8" x14ac:dyDescent="0.25">
      <c r="H291" s="98">
        <f>SUM(H286:H290)</f>
        <v>18486.599999999999</v>
      </c>
    </row>
    <row r="294" spans="2:8" ht="35.25" customHeight="1" x14ac:dyDescent="0.25">
      <c r="B294" s="230" t="s">
        <v>1636</v>
      </c>
      <c r="C294" s="231"/>
      <c r="D294" s="231"/>
      <c r="E294" s="231"/>
      <c r="F294" s="231"/>
      <c r="G294" s="231"/>
      <c r="H294" s="231"/>
    </row>
    <row r="295" spans="2:8" x14ac:dyDescent="0.25">
      <c r="B295" s="44" t="s">
        <v>1726</v>
      </c>
      <c r="C295" s="44">
        <v>22.22</v>
      </c>
      <c r="D295" s="38">
        <v>2.6</v>
      </c>
      <c r="E295" s="44">
        <v>8.84</v>
      </c>
      <c r="F295" s="38">
        <f t="shared" ref="F295" si="35">(C295*D295)-E295</f>
        <v>48.932000000000002</v>
      </c>
      <c r="G295" s="38">
        <f>5*10</f>
        <v>50</v>
      </c>
      <c r="H295" s="41">
        <f t="shared" ref="H295" si="36">F295*G295</f>
        <v>2446.6</v>
      </c>
    </row>
    <row r="296" spans="2:8" x14ac:dyDescent="0.25">
      <c r="H296" s="98">
        <f>SUM(H295:H295)</f>
        <v>2446.6</v>
      </c>
    </row>
    <row r="298" spans="2:8" ht="15.75" x14ac:dyDescent="0.25">
      <c r="B298" s="230" t="s">
        <v>1732</v>
      </c>
      <c r="C298" s="231"/>
      <c r="D298" s="231"/>
      <c r="E298" s="231"/>
      <c r="F298" s="231"/>
      <c r="G298" s="231"/>
      <c r="H298" s="231"/>
    </row>
    <row r="299" spans="2:8" x14ac:dyDescent="0.25">
      <c r="B299" s="38" t="s">
        <v>1727</v>
      </c>
      <c r="C299" s="38" t="s">
        <v>1728</v>
      </c>
      <c r="D299" s="38" t="s">
        <v>1599</v>
      </c>
      <c r="E299" s="38" t="s">
        <v>1730</v>
      </c>
      <c r="F299" s="38" t="s">
        <v>1602</v>
      </c>
      <c r="G299" s="38" t="s">
        <v>1048</v>
      </c>
      <c r="H299" s="41" t="s">
        <v>1729</v>
      </c>
    </row>
    <row r="300" spans="2:8" x14ac:dyDescent="0.25">
      <c r="B300" s="38" t="s">
        <v>1050</v>
      </c>
      <c r="C300" s="38">
        <v>11.3</v>
      </c>
      <c r="D300" s="38">
        <v>2.6</v>
      </c>
      <c r="E300" s="38">
        <v>3.12</v>
      </c>
      <c r="F300" s="38">
        <f>(C300*D300)-E300</f>
        <v>26.26</v>
      </c>
      <c r="G300" s="38">
        <f>4*5*10</f>
        <v>200</v>
      </c>
      <c r="H300" s="41">
        <f>F300*G300</f>
        <v>5252</v>
      </c>
    </row>
    <row r="301" spans="2:8" x14ac:dyDescent="0.25">
      <c r="B301" s="44" t="s">
        <v>1051</v>
      </c>
      <c r="C301" s="44">
        <v>11.3</v>
      </c>
      <c r="D301" s="38">
        <v>2.6</v>
      </c>
      <c r="E301" s="38">
        <v>3.12</v>
      </c>
      <c r="F301" s="38">
        <f t="shared" ref="F301:F303" si="37">(C301*D301)-E301</f>
        <v>26.26</v>
      </c>
      <c r="G301" s="38">
        <f t="shared" ref="G301:G303" si="38">4*5*10</f>
        <v>200</v>
      </c>
      <c r="H301" s="41">
        <f t="shared" ref="H301:H303" si="39">F301*G301</f>
        <v>5252</v>
      </c>
    </row>
    <row r="302" spans="2:8" x14ac:dyDescent="0.25">
      <c r="B302" s="44" t="s">
        <v>1731</v>
      </c>
      <c r="C302" s="44">
        <v>3.2</v>
      </c>
      <c r="D302" s="38">
        <v>2.6</v>
      </c>
      <c r="E302" s="38">
        <v>4.83</v>
      </c>
      <c r="F302" s="38">
        <f t="shared" si="37"/>
        <v>3.49</v>
      </c>
      <c r="G302" s="38">
        <v>200</v>
      </c>
      <c r="H302" s="41">
        <f t="shared" si="39"/>
        <v>698</v>
      </c>
    </row>
    <row r="303" spans="2:8" x14ac:dyDescent="0.25">
      <c r="B303" s="44" t="s">
        <v>1054</v>
      </c>
      <c r="C303" s="44">
        <v>10.8</v>
      </c>
      <c r="D303" s="38">
        <v>2.6</v>
      </c>
      <c r="E303" s="44">
        <v>3.89</v>
      </c>
      <c r="F303" s="38">
        <f t="shared" si="37"/>
        <v>24.19</v>
      </c>
      <c r="G303" s="38">
        <f t="shared" si="38"/>
        <v>200</v>
      </c>
      <c r="H303" s="41">
        <f t="shared" si="39"/>
        <v>4838</v>
      </c>
    </row>
    <row r="304" spans="2:8" x14ac:dyDescent="0.25">
      <c r="H304" s="98">
        <f>SUM(H300:H303)</f>
        <v>16040</v>
      </c>
    </row>
    <row r="307" spans="2:8" ht="15.75" x14ac:dyDescent="0.25">
      <c r="B307" s="230" t="s">
        <v>1732</v>
      </c>
      <c r="C307" s="231"/>
      <c r="D307" s="231"/>
      <c r="E307" s="231"/>
      <c r="F307" s="231"/>
      <c r="G307" s="231"/>
      <c r="H307" s="231"/>
    </row>
    <row r="308" spans="2:8" x14ac:dyDescent="0.25">
      <c r="B308" s="38" t="s">
        <v>1727</v>
      </c>
      <c r="C308" s="38" t="s">
        <v>1728</v>
      </c>
      <c r="D308" s="38" t="s">
        <v>1599</v>
      </c>
      <c r="E308" s="38" t="s">
        <v>1730</v>
      </c>
      <c r="F308" s="38" t="s">
        <v>1602</v>
      </c>
      <c r="G308" s="38" t="s">
        <v>1048</v>
      </c>
      <c r="H308" s="41" t="s">
        <v>1729</v>
      </c>
    </row>
    <row r="309" spans="2:8" x14ac:dyDescent="0.25">
      <c r="B309" s="38" t="s">
        <v>1733</v>
      </c>
      <c r="C309" s="38">
        <v>6.58</v>
      </c>
      <c r="D309" s="38">
        <v>2.6</v>
      </c>
      <c r="E309" s="38">
        <v>2.11</v>
      </c>
      <c r="F309" s="38">
        <f>(C309*D309)-E309</f>
        <v>14.998000000000001</v>
      </c>
      <c r="G309" s="38">
        <f>4*5*10</f>
        <v>200</v>
      </c>
      <c r="H309" s="41">
        <f>F309*G309</f>
        <v>2999.6000000000004</v>
      </c>
    </row>
    <row r="310" spans="2:8" x14ac:dyDescent="0.25">
      <c r="B310" s="44" t="s">
        <v>1734</v>
      </c>
      <c r="C310" s="44">
        <v>7.68</v>
      </c>
      <c r="D310" s="38">
        <v>2.6</v>
      </c>
      <c r="E310" s="38">
        <v>1.2</v>
      </c>
      <c r="F310" s="38">
        <f t="shared" ref="F310" si="40">(C310*D310)-E310</f>
        <v>18.768000000000001</v>
      </c>
      <c r="G310" s="38">
        <f t="shared" ref="G310" si="41">4*5*10</f>
        <v>200</v>
      </c>
      <c r="H310" s="41">
        <f t="shared" ref="H310" si="42">F310*G310</f>
        <v>3753.6000000000004</v>
      </c>
    </row>
    <row r="311" spans="2:8" x14ac:dyDescent="0.25">
      <c r="H311" s="98">
        <f>SUM(H309:H310)</f>
        <v>6753.2000000000007</v>
      </c>
    </row>
  </sheetData>
  <mergeCells count="56">
    <mergeCell ref="B157:B158"/>
    <mergeCell ref="B159:B160"/>
    <mergeCell ref="B161:B162"/>
    <mergeCell ref="B171:B172"/>
    <mergeCell ref="B165:B166"/>
    <mergeCell ref="B163:B164"/>
    <mergeCell ref="B167:B168"/>
    <mergeCell ref="B169:B170"/>
    <mergeCell ref="B217:H217"/>
    <mergeCell ref="B232:H232"/>
    <mergeCell ref="B235:H235"/>
    <mergeCell ref="B258:C258"/>
    <mergeCell ref="B50:F50"/>
    <mergeCell ref="B130:F130"/>
    <mergeCell ref="B76:E76"/>
    <mergeCell ref="B80:E80"/>
    <mergeCell ref="B101:E101"/>
    <mergeCell ref="B113:I113"/>
    <mergeCell ref="B141:H141"/>
    <mergeCell ref="B143:B144"/>
    <mergeCell ref="B94:F94"/>
    <mergeCell ref="B88:G88"/>
    <mergeCell ref="F92:G92"/>
    <mergeCell ref="B145:B146"/>
    <mergeCell ref="B189:H189"/>
    <mergeCell ref="B175:H175"/>
    <mergeCell ref="B204:H204"/>
    <mergeCell ref="B213:H213"/>
    <mergeCell ref="B1:D1"/>
    <mergeCell ref="B22:F22"/>
    <mergeCell ref="B5:F5"/>
    <mergeCell ref="B9:D9"/>
    <mergeCell ref="B26:E26"/>
    <mergeCell ref="B147:B148"/>
    <mergeCell ref="B149:B150"/>
    <mergeCell ref="B41:F41"/>
    <mergeCell ref="B105:F105"/>
    <mergeCell ref="B151:B152"/>
    <mergeCell ref="B153:B154"/>
    <mergeCell ref="B155:B156"/>
    <mergeCell ref="B298:H298"/>
    <mergeCell ref="B307:H307"/>
    <mergeCell ref="B284:H284"/>
    <mergeCell ref="B294:H294"/>
    <mergeCell ref="B30:F30"/>
    <mergeCell ref="B35:F35"/>
    <mergeCell ref="B277:C277"/>
    <mergeCell ref="B271:C271"/>
    <mergeCell ref="B54:F54"/>
    <mergeCell ref="B59:F59"/>
    <mergeCell ref="B66:F66"/>
    <mergeCell ref="B72:F72"/>
    <mergeCell ref="B263:F263"/>
    <mergeCell ref="B238:F238"/>
    <mergeCell ref="B243:D243"/>
    <mergeCell ref="B254:C254"/>
  </mergeCells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D6:M100"/>
  <sheetViews>
    <sheetView topLeftCell="C72" workbookViewId="0">
      <selection activeCell="E84" sqref="E84"/>
    </sheetView>
  </sheetViews>
  <sheetFormatPr defaultColWidth="11.42578125" defaultRowHeight="15" x14ac:dyDescent="0.25"/>
  <cols>
    <col min="4" max="4" width="34.85546875" customWidth="1"/>
    <col min="5" max="5" width="26.42578125" customWidth="1"/>
    <col min="6" max="6" width="15.42578125" customWidth="1"/>
    <col min="7" max="7" width="13.140625" customWidth="1"/>
    <col min="8" max="8" width="16.140625" customWidth="1"/>
    <col min="9" max="9" width="16.85546875" customWidth="1"/>
    <col min="11" max="12" width="13.42578125" customWidth="1"/>
    <col min="13" max="13" width="15.140625" customWidth="1"/>
  </cols>
  <sheetData>
    <row r="6" spans="4:13" x14ac:dyDescent="0.25">
      <c r="D6" s="250" t="s">
        <v>1637</v>
      </c>
      <c r="E6" s="250"/>
      <c r="F6" s="250"/>
      <c r="G6" s="250"/>
      <c r="H6" s="250"/>
    </row>
    <row r="7" spans="4:13" ht="30" x14ac:dyDescent="0.25">
      <c r="D7" s="153" t="s">
        <v>1638</v>
      </c>
      <c r="E7" s="153" t="s">
        <v>1639</v>
      </c>
      <c r="F7" s="153" t="s">
        <v>1646</v>
      </c>
      <c r="G7" s="153" t="s">
        <v>1647</v>
      </c>
      <c r="H7" s="153" t="s">
        <v>1648</v>
      </c>
      <c r="I7" s="153" t="s">
        <v>1652</v>
      </c>
      <c r="J7" s="153" t="s">
        <v>1653</v>
      </c>
      <c r="K7" s="153" t="s">
        <v>1639</v>
      </c>
      <c r="L7" s="153" t="s">
        <v>1654</v>
      </c>
      <c r="M7" s="153" t="s">
        <v>1655</v>
      </c>
    </row>
    <row r="8" spans="4:13" x14ac:dyDescent="0.25">
      <c r="D8" t="s">
        <v>1640</v>
      </c>
      <c r="E8">
        <v>1</v>
      </c>
      <c r="F8" s="139">
        <f>8.5*1045</f>
        <v>8882.5</v>
      </c>
      <c r="G8" s="139">
        <f>E8*F8</f>
        <v>8882.5</v>
      </c>
      <c r="H8" s="139">
        <f>G8*1.9</f>
        <v>16876.75</v>
      </c>
      <c r="I8">
        <v>16.649999999999999</v>
      </c>
      <c r="J8" s="139">
        <v>166.14</v>
      </c>
      <c r="K8">
        <v>12</v>
      </c>
      <c r="L8" s="139">
        <f>2*4.25*264</f>
        <v>2244</v>
      </c>
      <c r="M8" s="139">
        <f>((H8+I8+J8)*K8)+L8</f>
        <v>206958.48</v>
      </c>
    </row>
    <row r="9" spans="4:13" x14ac:dyDescent="0.25">
      <c r="D9" t="s">
        <v>1641</v>
      </c>
      <c r="E9">
        <v>2</v>
      </c>
      <c r="F9" s="139">
        <v>1045</v>
      </c>
      <c r="G9" s="139">
        <f t="shared" ref="G9:G15" si="0">E9*F9</f>
        <v>2090</v>
      </c>
      <c r="H9" s="139">
        <f>G9</f>
        <v>2090</v>
      </c>
      <c r="I9">
        <v>16.649999999999999</v>
      </c>
      <c r="J9" s="139"/>
      <c r="K9">
        <v>12</v>
      </c>
      <c r="L9" s="139">
        <f t="shared" ref="L9:L16" si="1">2*4.25*264</f>
        <v>2244</v>
      </c>
      <c r="M9" s="139">
        <f>((H9+I9+J9)*K9)+L9</f>
        <v>27523.800000000003</v>
      </c>
    </row>
    <row r="10" spans="4:13" x14ac:dyDescent="0.25">
      <c r="D10" t="s">
        <v>1642</v>
      </c>
      <c r="E10">
        <v>1</v>
      </c>
      <c r="F10" s="139">
        <f>3*1045</f>
        <v>3135</v>
      </c>
      <c r="G10" s="139">
        <f t="shared" si="0"/>
        <v>3135</v>
      </c>
      <c r="H10" s="139">
        <f t="shared" ref="H10:H16" si="2">G10*1.9</f>
        <v>5956.5</v>
      </c>
      <c r="I10">
        <v>16.649999999999999</v>
      </c>
      <c r="J10" s="139">
        <v>166.14</v>
      </c>
      <c r="K10">
        <v>12</v>
      </c>
      <c r="L10" s="139">
        <f t="shared" si="1"/>
        <v>2244</v>
      </c>
      <c r="M10" s="139">
        <f t="shared" ref="M10:M16" si="3">((H10+I10+J10)*K10)+L10</f>
        <v>75915.48</v>
      </c>
    </row>
    <row r="11" spans="4:13" x14ac:dyDescent="0.25">
      <c r="D11" t="s">
        <v>1643</v>
      </c>
      <c r="E11">
        <v>1</v>
      </c>
      <c r="F11" s="139">
        <f>3*1045</f>
        <v>3135</v>
      </c>
      <c r="G11" s="139">
        <f t="shared" si="0"/>
        <v>3135</v>
      </c>
      <c r="H11" s="139">
        <f t="shared" si="2"/>
        <v>5956.5</v>
      </c>
      <c r="I11">
        <v>16.649999999999999</v>
      </c>
      <c r="J11" s="139">
        <v>166.14</v>
      </c>
      <c r="K11">
        <v>12</v>
      </c>
      <c r="L11" s="139">
        <f t="shared" si="1"/>
        <v>2244</v>
      </c>
      <c r="M11" s="139">
        <f t="shared" si="3"/>
        <v>75915.48</v>
      </c>
    </row>
    <row r="12" spans="4:13" x14ac:dyDescent="0.25">
      <c r="D12" t="s">
        <v>1644</v>
      </c>
      <c r="E12">
        <v>5</v>
      </c>
      <c r="F12" s="139">
        <v>2788.3</v>
      </c>
      <c r="G12" s="139">
        <f t="shared" si="0"/>
        <v>13941.5</v>
      </c>
      <c r="H12" s="139">
        <f t="shared" si="2"/>
        <v>26488.85</v>
      </c>
      <c r="I12">
        <v>16.649999999999999</v>
      </c>
      <c r="J12" s="139">
        <v>166.14</v>
      </c>
      <c r="K12">
        <v>12</v>
      </c>
      <c r="L12" s="139">
        <f t="shared" si="1"/>
        <v>2244</v>
      </c>
      <c r="M12" s="139">
        <f t="shared" si="3"/>
        <v>322303.68</v>
      </c>
    </row>
    <row r="13" spans="4:13" x14ac:dyDescent="0.25">
      <c r="D13" t="s">
        <v>1645</v>
      </c>
      <c r="E13">
        <v>1</v>
      </c>
      <c r="F13" s="139">
        <v>1611.12</v>
      </c>
      <c r="G13" s="139">
        <f t="shared" si="0"/>
        <v>1611.12</v>
      </c>
      <c r="H13" s="139">
        <f t="shared" si="2"/>
        <v>3061.1279999999997</v>
      </c>
      <c r="I13">
        <v>16.649999999999999</v>
      </c>
      <c r="J13" s="139">
        <v>166.14</v>
      </c>
      <c r="K13">
        <v>12</v>
      </c>
      <c r="L13" s="139">
        <f t="shared" si="1"/>
        <v>2244</v>
      </c>
      <c r="M13" s="139">
        <f t="shared" si="3"/>
        <v>41171.015999999996</v>
      </c>
    </row>
    <row r="14" spans="4:13" x14ac:dyDescent="0.25">
      <c r="D14" t="s">
        <v>1649</v>
      </c>
      <c r="E14">
        <v>1</v>
      </c>
      <c r="F14" s="139">
        <f>3*1045</f>
        <v>3135</v>
      </c>
      <c r="G14" s="139">
        <f t="shared" si="0"/>
        <v>3135</v>
      </c>
      <c r="H14" s="139">
        <f t="shared" si="2"/>
        <v>5956.5</v>
      </c>
      <c r="I14">
        <v>16.649999999999999</v>
      </c>
      <c r="J14" s="139">
        <v>166.14</v>
      </c>
      <c r="K14">
        <v>12</v>
      </c>
      <c r="L14" s="139">
        <f t="shared" si="1"/>
        <v>2244</v>
      </c>
      <c r="M14" s="139">
        <f t="shared" si="3"/>
        <v>75915.48</v>
      </c>
    </row>
    <row r="15" spans="4:13" x14ac:dyDescent="0.25">
      <c r="D15" t="s">
        <v>1650</v>
      </c>
      <c r="E15">
        <v>1</v>
      </c>
      <c r="F15" s="139">
        <v>1609.69</v>
      </c>
      <c r="G15" s="139">
        <f t="shared" si="0"/>
        <v>1609.69</v>
      </c>
      <c r="H15" s="139">
        <f t="shared" si="2"/>
        <v>3058.4110000000001</v>
      </c>
      <c r="I15">
        <v>16.649999999999999</v>
      </c>
      <c r="J15" s="139">
        <v>166.14</v>
      </c>
      <c r="K15">
        <v>12</v>
      </c>
      <c r="L15" s="139">
        <f t="shared" si="1"/>
        <v>2244</v>
      </c>
      <c r="M15" s="139">
        <f t="shared" si="3"/>
        <v>41138.411999999997</v>
      </c>
    </row>
    <row r="16" spans="4:13" x14ac:dyDescent="0.25">
      <c r="D16" t="s">
        <v>1651</v>
      </c>
      <c r="E16">
        <v>2</v>
      </c>
      <c r="F16" s="139">
        <v>1127.9100000000001</v>
      </c>
      <c r="G16" s="139">
        <f t="shared" ref="G16" si="4">E16*F16</f>
        <v>2255.8200000000002</v>
      </c>
      <c r="H16" s="139">
        <f t="shared" si="2"/>
        <v>4286.058</v>
      </c>
      <c r="I16">
        <v>16.649999999999999</v>
      </c>
      <c r="J16" s="139">
        <v>166.14</v>
      </c>
      <c r="K16">
        <v>12</v>
      </c>
      <c r="L16" s="139">
        <f t="shared" si="1"/>
        <v>2244</v>
      </c>
      <c r="M16" s="139">
        <f t="shared" si="3"/>
        <v>55870.175999999999</v>
      </c>
    </row>
    <row r="17" spans="4:13" x14ac:dyDescent="0.25">
      <c r="M17" s="152">
        <f>SUM(M8:M16)</f>
        <v>922712.00399999984</v>
      </c>
    </row>
    <row r="20" spans="4:13" ht="30" x14ac:dyDescent="0.25">
      <c r="D20" s="155"/>
      <c r="E20" s="153" t="s">
        <v>1656</v>
      </c>
      <c r="F20" s="153" t="s">
        <v>1657</v>
      </c>
      <c r="G20" s="153" t="s">
        <v>1658</v>
      </c>
      <c r="H20" s="153" t="s">
        <v>1660</v>
      </c>
      <c r="I20" s="153" t="s">
        <v>1661</v>
      </c>
      <c r="J20" s="153" t="s">
        <v>1662</v>
      </c>
      <c r="K20" s="153" t="s">
        <v>1665</v>
      </c>
    </row>
    <row r="21" spans="4:13" x14ac:dyDescent="0.25">
      <c r="D21" t="s">
        <v>1640</v>
      </c>
      <c r="E21">
        <v>1</v>
      </c>
      <c r="F21">
        <v>1</v>
      </c>
      <c r="H21">
        <f>1*12</f>
        <v>12</v>
      </c>
      <c r="I21">
        <f>1*12</f>
        <v>12</v>
      </c>
      <c r="J21">
        <f>1*12</f>
        <v>12</v>
      </c>
      <c r="K21">
        <v>1</v>
      </c>
    </row>
    <row r="22" spans="4:13" x14ac:dyDescent="0.25">
      <c r="D22" t="s">
        <v>1641</v>
      </c>
      <c r="E22">
        <f>1*2</f>
        <v>2</v>
      </c>
      <c r="F22">
        <f>1*2</f>
        <v>2</v>
      </c>
      <c r="H22">
        <f>1*2*12</f>
        <v>24</v>
      </c>
      <c r="I22">
        <f>1*2*12</f>
        <v>24</v>
      </c>
      <c r="J22">
        <f>1*2*12</f>
        <v>24</v>
      </c>
      <c r="K22">
        <f>1*2</f>
        <v>2</v>
      </c>
    </row>
    <row r="23" spans="4:13" x14ac:dyDescent="0.25">
      <c r="D23" t="s">
        <v>1642</v>
      </c>
      <c r="E23">
        <v>1</v>
      </c>
      <c r="F23">
        <v>1</v>
      </c>
      <c r="H23">
        <f t="shared" ref="H23:J24" si="5">1*12</f>
        <v>12</v>
      </c>
      <c r="I23">
        <f t="shared" si="5"/>
        <v>12</v>
      </c>
      <c r="J23">
        <f t="shared" si="5"/>
        <v>12</v>
      </c>
      <c r="K23">
        <v>1</v>
      </c>
    </row>
    <row r="24" spans="4:13" x14ac:dyDescent="0.25">
      <c r="D24" t="s">
        <v>1643</v>
      </c>
      <c r="E24">
        <v>1</v>
      </c>
      <c r="F24">
        <v>1</v>
      </c>
      <c r="H24">
        <f t="shared" si="5"/>
        <v>12</v>
      </c>
      <c r="I24">
        <f t="shared" si="5"/>
        <v>12</v>
      </c>
      <c r="J24">
        <f t="shared" si="5"/>
        <v>12</v>
      </c>
      <c r="K24">
        <v>1</v>
      </c>
    </row>
    <row r="25" spans="4:13" x14ac:dyDescent="0.25">
      <c r="D25" t="s">
        <v>1644</v>
      </c>
      <c r="E25">
        <f>1*5</f>
        <v>5</v>
      </c>
      <c r="F25">
        <f>1*5</f>
        <v>5</v>
      </c>
      <c r="G25">
        <f>1*5*12</f>
        <v>60</v>
      </c>
      <c r="H25">
        <f>5*12</f>
        <v>60</v>
      </c>
      <c r="I25">
        <f>1*5*12</f>
        <v>60</v>
      </c>
      <c r="J25">
        <f>1*5*12</f>
        <v>60</v>
      </c>
      <c r="K25">
        <f>1*5</f>
        <v>5</v>
      </c>
    </row>
    <row r="26" spans="4:13" x14ac:dyDescent="0.25">
      <c r="D26" t="s">
        <v>1645</v>
      </c>
      <c r="E26">
        <v>1</v>
      </c>
      <c r="F26">
        <v>1</v>
      </c>
      <c r="G26">
        <f>F26*12</f>
        <v>12</v>
      </c>
      <c r="I26">
        <f t="shared" ref="I26:J28" si="6">1*12</f>
        <v>12</v>
      </c>
      <c r="J26">
        <f t="shared" si="6"/>
        <v>12</v>
      </c>
      <c r="K26">
        <v>1</v>
      </c>
    </row>
    <row r="27" spans="4:13" x14ac:dyDescent="0.25">
      <c r="D27" t="s">
        <v>1649</v>
      </c>
      <c r="E27">
        <v>1</v>
      </c>
      <c r="F27">
        <v>1</v>
      </c>
      <c r="G27">
        <f>1*12</f>
        <v>12</v>
      </c>
      <c r="H27">
        <f>1*12</f>
        <v>12</v>
      </c>
      <c r="I27">
        <f t="shared" si="6"/>
        <v>12</v>
      </c>
      <c r="J27">
        <f t="shared" si="6"/>
        <v>12</v>
      </c>
      <c r="K27">
        <v>1</v>
      </c>
    </row>
    <row r="28" spans="4:13" x14ac:dyDescent="0.25">
      <c r="D28" t="s">
        <v>1650</v>
      </c>
      <c r="E28">
        <v>1</v>
      </c>
      <c r="F28">
        <v>1</v>
      </c>
      <c r="I28">
        <f t="shared" si="6"/>
        <v>12</v>
      </c>
      <c r="J28">
        <f t="shared" si="6"/>
        <v>12</v>
      </c>
      <c r="K28">
        <v>1</v>
      </c>
    </row>
    <row r="29" spans="4:13" x14ac:dyDescent="0.25">
      <c r="D29" t="s">
        <v>1651</v>
      </c>
      <c r="E29">
        <f>1*2</f>
        <v>2</v>
      </c>
      <c r="F29">
        <f>1*2</f>
        <v>2</v>
      </c>
      <c r="H29">
        <f>2*12</f>
        <v>24</v>
      </c>
      <c r="I29">
        <f>1*2*12</f>
        <v>24</v>
      </c>
      <c r="J29">
        <f>1*2*12</f>
        <v>24</v>
      </c>
      <c r="K29">
        <f>1*2</f>
        <v>2</v>
      </c>
    </row>
    <row r="30" spans="4:13" x14ac:dyDescent="0.25">
      <c r="D30" s="59" t="s">
        <v>1659</v>
      </c>
      <c r="E30" s="59">
        <f>SUM(E21:E29)</f>
        <v>15</v>
      </c>
      <c r="F30" s="59">
        <f t="shared" ref="F30:K30" si="7">SUM(F21:F29)</f>
        <v>15</v>
      </c>
      <c r="G30" s="59">
        <f t="shared" si="7"/>
        <v>84</v>
      </c>
      <c r="H30" s="59">
        <f t="shared" si="7"/>
        <v>156</v>
      </c>
      <c r="I30" s="59">
        <f t="shared" si="7"/>
        <v>180</v>
      </c>
      <c r="J30" s="59">
        <f t="shared" si="7"/>
        <v>180</v>
      </c>
      <c r="K30" s="59">
        <f t="shared" si="7"/>
        <v>15</v>
      </c>
    </row>
    <row r="32" spans="4:13" x14ac:dyDescent="0.25">
      <c r="D32" s="250" t="s">
        <v>1667</v>
      </c>
      <c r="E32" s="250"/>
      <c r="F32" s="250"/>
      <c r="G32" s="250"/>
    </row>
    <row r="33" spans="4:7" x14ac:dyDescent="0.25">
      <c r="E33" t="s">
        <v>1663</v>
      </c>
      <c r="F33" t="s">
        <v>1664</v>
      </c>
      <c r="G33" t="s">
        <v>1647</v>
      </c>
    </row>
    <row r="34" spans="4:7" x14ac:dyDescent="0.25">
      <c r="D34" s="37" t="s">
        <v>1656</v>
      </c>
      <c r="E34">
        <v>15</v>
      </c>
      <c r="F34" s="139">
        <v>47.9</v>
      </c>
      <c r="G34" s="139">
        <f>F34*E34</f>
        <v>718.5</v>
      </c>
    </row>
    <row r="35" spans="4:7" x14ac:dyDescent="0.25">
      <c r="D35" s="37" t="s">
        <v>1657</v>
      </c>
      <c r="E35">
        <v>15</v>
      </c>
      <c r="F35" s="139">
        <v>37.9</v>
      </c>
      <c r="G35" s="139">
        <f t="shared" ref="G35:G40" si="8">F35*E35</f>
        <v>568.5</v>
      </c>
    </row>
    <row r="36" spans="4:7" x14ac:dyDescent="0.25">
      <c r="D36" s="37" t="s">
        <v>1658</v>
      </c>
      <c r="E36">
        <v>84</v>
      </c>
      <c r="F36" s="139">
        <v>9.9</v>
      </c>
      <c r="G36" s="139">
        <f t="shared" si="8"/>
        <v>831.6</v>
      </c>
    </row>
    <row r="37" spans="4:7" x14ac:dyDescent="0.25">
      <c r="D37" s="37" t="s">
        <v>1660</v>
      </c>
      <c r="E37">
        <v>156</v>
      </c>
      <c r="F37" s="139">
        <v>2.95</v>
      </c>
      <c r="G37" s="139">
        <f t="shared" si="8"/>
        <v>460.20000000000005</v>
      </c>
    </row>
    <row r="38" spans="4:7" x14ac:dyDescent="0.25">
      <c r="D38" s="37" t="s">
        <v>1661</v>
      </c>
      <c r="E38">
        <v>180</v>
      </c>
      <c r="F38" s="139">
        <v>1.1399999999999999</v>
      </c>
      <c r="G38" s="139">
        <f t="shared" si="8"/>
        <v>205.2</v>
      </c>
    </row>
    <row r="39" spans="4:7" x14ac:dyDescent="0.25">
      <c r="D39" s="37" t="s">
        <v>1662</v>
      </c>
      <c r="E39">
        <v>180</v>
      </c>
      <c r="F39" s="139">
        <f>99.99/100</f>
        <v>0.9998999999999999</v>
      </c>
      <c r="G39" s="139">
        <f t="shared" si="8"/>
        <v>179.98199999999997</v>
      </c>
    </row>
    <row r="40" spans="4:7" x14ac:dyDescent="0.25">
      <c r="D40" s="37" t="s">
        <v>1665</v>
      </c>
      <c r="E40">
        <v>15</v>
      </c>
      <c r="F40" s="139">
        <v>79.989999999999995</v>
      </c>
      <c r="G40" s="139">
        <f t="shared" si="8"/>
        <v>1199.8499999999999</v>
      </c>
    </row>
    <row r="41" spans="4:7" x14ac:dyDescent="0.25">
      <c r="F41" s="139"/>
      <c r="G41" s="152">
        <f>SUM(G34:G40)</f>
        <v>4163.8320000000003</v>
      </c>
    </row>
    <row r="43" spans="4:7" x14ac:dyDescent="0.25">
      <c r="D43" s="154" t="s">
        <v>1666</v>
      </c>
    </row>
    <row r="44" spans="4:7" x14ac:dyDescent="0.25">
      <c r="D44" s="156">
        <v>1.4999999999999999E-2</v>
      </c>
    </row>
    <row r="46" spans="4:7" x14ac:dyDescent="0.25">
      <c r="D46" s="250" t="s">
        <v>1709</v>
      </c>
      <c r="E46" s="250"/>
    </row>
    <row r="47" spans="4:7" x14ac:dyDescent="0.25">
      <c r="D47" t="s">
        <v>1710</v>
      </c>
      <c r="E47" t="s">
        <v>1639</v>
      </c>
    </row>
    <row r="48" spans="4:7" x14ac:dyDescent="0.25">
      <c r="D48" s="139">
        <v>2000</v>
      </c>
      <c r="E48">
        <v>12</v>
      </c>
      <c r="F48" s="152">
        <f>D48*E48</f>
        <v>24000</v>
      </c>
    </row>
    <row r="51" spans="4:9" x14ac:dyDescent="0.25">
      <c r="D51" s="250" t="s">
        <v>1708</v>
      </c>
      <c r="E51" s="250"/>
      <c r="F51" s="250"/>
      <c r="G51" s="250"/>
      <c r="H51" s="250"/>
    </row>
    <row r="52" spans="4:9" x14ac:dyDescent="0.25">
      <c r="E52" t="s">
        <v>1048</v>
      </c>
      <c r="F52" t="s">
        <v>1687</v>
      </c>
      <c r="G52" t="s">
        <v>1689</v>
      </c>
    </row>
    <row r="53" spans="4:9" x14ac:dyDescent="0.25">
      <c r="D53" t="s">
        <v>1668</v>
      </c>
      <c r="E53">
        <v>10</v>
      </c>
      <c r="F53" s="158">
        <v>28.47</v>
      </c>
      <c r="G53" s="158">
        <f>E53*F53</f>
        <v>284.7</v>
      </c>
      <c r="I53" s="157" t="s">
        <v>1688</v>
      </c>
    </row>
    <row r="54" spans="4:9" x14ac:dyDescent="0.25">
      <c r="D54" t="s">
        <v>1669</v>
      </c>
      <c r="E54">
        <v>10</v>
      </c>
      <c r="F54" s="158">
        <v>1199.9000000000001</v>
      </c>
      <c r="G54" s="158">
        <f t="shared" ref="G54:G71" si="9">E54*F54</f>
        <v>11999</v>
      </c>
      <c r="I54" t="s">
        <v>1690</v>
      </c>
    </row>
    <row r="55" spans="4:9" x14ac:dyDescent="0.25">
      <c r="D55" t="s">
        <v>1670</v>
      </c>
      <c r="E55">
        <v>10</v>
      </c>
      <c r="F55" s="158">
        <v>1499.9</v>
      </c>
      <c r="G55" s="158">
        <f t="shared" si="9"/>
        <v>14999</v>
      </c>
      <c r="I55" t="s">
        <v>1691</v>
      </c>
    </row>
    <row r="56" spans="4:9" x14ac:dyDescent="0.25">
      <c r="D56" t="s">
        <v>1671</v>
      </c>
      <c r="E56">
        <v>1</v>
      </c>
      <c r="F56" s="158">
        <v>179.9</v>
      </c>
      <c r="G56" s="158">
        <f t="shared" si="9"/>
        <v>179.9</v>
      </c>
      <c r="I56" t="s">
        <v>1692</v>
      </c>
    </row>
    <row r="57" spans="4:9" x14ac:dyDescent="0.25">
      <c r="D57" t="s">
        <v>1672</v>
      </c>
      <c r="E57">
        <v>10</v>
      </c>
      <c r="F57" s="158">
        <v>41.31</v>
      </c>
      <c r="G57" s="158">
        <f t="shared" si="9"/>
        <v>413.1</v>
      </c>
      <c r="I57" t="s">
        <v>1693</v>
      </c>
    </row>
    <row r="58" spans="4:9" x14ac:dyDescent="0.25">
      <c r="D58" t="s">
        <v>1673</v>
      </c>
      <c r="E58">
        <v>1</v>
      </c>
      <c r="F58" s="158">
        <v>1590</v>
      </c>
      <c r="G58" s="158">
        <f t="shared" si="9"/>
        <v>1590</v>
      </c>
      <c r="I58" t="s">
        <v>1694</v>
      </c>
    </row>
    <row r="59" spans="4:9" x14ac:dyDescent="0.25">
      <c r="D59" t="s">
        <v>1674</v>
      </c>
      <c r="E59">
        <v>10</v>
      </c>
      <c r="F59" s="158">
        <v>169.9</v>
      </c>
      <c r="G59" s="158">
        <f t="shared" si="9"/>
        <v>1699</v>
      </c>
      <c r="I59" t="s">
        <v>1695</v>
      </c>
    </row>
    <row r="60" spans="4:9" x14ac:dyDescent="0.25">
      <c r="D60" t="s">
        <v>1675</v>
      </c>
      <c r="E60">
        <v>10</v>
      </c>
      <c r="F60" s="158">
        <v>272.89999999999998</v>
      </c>
      <c r="G60" s="158">
        <f t="shared" si="9"/>
        <v>2729</v>
      </c>
      <c r="I60" t="s">
        <v>1696</v>
      </c>
    </row>
    <row r="61" spans="4:9" x14ac:dyDescent="0.25">
      <c r="D61" t="s">
        <v>1676</v>
      </c>
      <c r="E61">
        <v>10</v>
      </c>
      <c r="F61" s="158">
        <v>619.9</v>
      </c>
      <c r="G61" s="158">
        <f t="shared" si="9"/>
        <v>6199</v>
      </c>
      <c r="I61" t="s">
        <v>1697</v>
      </c>
    </row>
    <row r="62" spans="4:9" x14ac:dyDescent="0.25">
      <c r="D62" t="s">
        <v>1677</v>
      </c>
      <c r="E62">
        <v>1</v>
      </c>
      <c r="F62" s="158">
        <v>1349.1</v>
      </c>
      <c r="G62" s="158">
        <f t="shared" si="9"/>
        <v>1349.1</v>
      </c>
      <c r="I62" t="s">
        <v>1698</v>
      </c>
    </row>
    <row r="63" spans="4:9" x14ac:dyDescent="0.25">
      <c r="D63" t="s">
        <v>1678</v>
      </c>
      <c r="E63">
        <v>10</v>
      </c>
      <c r="F63" s="158">
        <v>26.99</v>
      </c>
      <c r="G63" s="158">
        <f t="shared" si="9"/>
        <v>269.89999999999998</v>
      </c>
      <c r="I63" t="s">
        <v>1699</v>
      </c>
    </row>
    <row r="64" spans="4:9" x14ac:dyDescent="0.25">
      <c r="D64" t="s">
        <v>1679</v>
      </c>
      <c r="E64">
        <v>10</v>
      </c>
      <c r="F64" s="158">
        <v>339.97</v>
      </c>
      <c r="G64" s="158">
        <f t="shared" si="9"/>
        <v>3399.7000000000003</v>
      </c>
      <c r="I64" t="s">
        <v>1700</v>
      </c>
    </row>
    <row r="65" spans="4:9" x14ac:dyDescent="0.25">
      <c r="D65" t="s">
        <v>1680</v>
      </c>
      <c r="E65">
        <v>10</v>
      </c>
      <c r="F65" s="158">
        <v>39.799999999999997</v>
      </c>
      <c r="G65" s="158">
        <f t="shared" si="9"/>
        <v>398</v>
      </c>
      <c r="I65" t="s">
        <v>1701</v>
      </c>
    </row>
    <row r="66" spans="4:9" x14ac:dyDescent="0.25">
      <c r="D66" t="s">
        <v>1681</v>
      </c>
      <c r="E66">
        <v>10</v>
      </c>
      <c r="F66" s="158">
        <v>79.900000000000006</v>
      </c>
      <c r="G66" s="158">
        <f t="shared" si="9"/>
        <v>799</v>
      </c>
      <c r="I66" t="s">
        <v>1702</v>
      </c>
    </row>
    <row r="67" spans="4:9" x14ac:dyDescent="0.25">
      <c r="D67" t="s">
        <v>1682</v>
      </c>
      <c r="E67">
        <v>10</v>
      </c>
      <c r="F67" s="158">
        <v>26.76</v>
      </c>
      <c r="G67" s="158">
        <f t="shared" si="9"/>
        <v>267.60000000000002</v>
      </c>
      <c r="I67" t="s">
        <v>1703</v>
      </c>
    </row>
    <row r="68" spans="4:9" x14ac:dyDescent="0.25">
      <c r="D68" t="s">
        <v>1683</v>
      </c>
      <c r="E68">
        <v>10</v>
      </c>
      <c r="F68" s="158">
        <v>49.9</v>
      </c>
      <c r="G68" s="158">
        <f t="shared" si="9"/>
        <v>499</v>
      </c>
      <c r="I68" t="s">
        <v>1704</v>
      </c>
    </row>
    <row r="69" spans="4:9" x14ac:dyDescent="0.25">
      <c r="D69" t="s">
        <v>1684</v>
      </c>
      <c r="E69">
        <v>10</v>
      </c>
      <c r="F69" s="158">
        <v>38.86</v>
      </c>
      <c r="G69" s="158">
        <f t="shared" si="9"/>
        <v>388.6</v>
      </c>
      <c r="I69" t="s">
        <v>1705</v>
      </c>
    </row>
    <row r="70" spans="4:9" x14ac:dyDescent="0.25">
      <c r="D70" t="s">
        <v>1685</v>
      </c>
      <c r="E70">
        <v>10</v>
      </c>
      <c r="F70" s="158">
        <v>38.97</v>
      </c>
      <c r="G70" s="158">
        <f t="shared" si="9"/>
        <v>389.7</v>
      </c>
      <c r="I70" t="s">
        <v>1706</v>
      </c>
    </row>
    <row r="71" spans="4:9" x14ac:dyDescent="0.25">
      <c r="D71" t="s">
        <v>1686</v>
      </c>
      <c r="E71">
        <v>10</v>
      </c>
      <c r="F71" s="158">
        <v>79.989999999999995</v>
      </c>
      <c r="G71" s="158">
        <f t="shared" si="9"/>
        <v>799.9</v>
      </c>
      <c r="I71" t="s">
        <v>1707</v>
      </c>
    </row>
    <row r="72" spans="4:9" x14ac:dyDescent="0.25">
      <c r="F72" s="158"/>
      <c r="G72" s="159">
        <f>SUM(G53:G71)</f>
        <v>48653.19999999999</v>
      </c>
    </row>
    <row r="75" spans="4:9" x14ac:dyDescent="0.25">
      <c r="D75" s="250" t="s">
        <v>1711</v>
      </c>
      <c r="E75" s="250"/>
    </row>
    <row r="76" spans="4:9" x14ac:dyDescent="0.25">
      <c r="D76" t="s">
        <v>1637</v>
      </c>
      <c r="E76" s="139">
        <f>M17</f>
        <v>922712.00399999984</v>
      </c>
      <c r="F76" s="156">
        <f>E76/E84</f>
        <v>9.6784828954998126E-2</v>
      </c>
    </row>
    <row r="77" spans="4:9" x14ac:dyDescent="0.25">
      <c r="D77" t="s">
        <v>1667</v>
      </c>
      <c r="E77" s="139">
        <f>G41</f>
        <v>4163.8320000000003</v>
      </c>
      <c r="H77" s="139"/>
    </row>
    <row r="78" spans="4:9" x14ac:dyDescent="0.25">
      <c r="D78" t="s">
        <v>1666</v>
      </c>
      <c r="E78" s="156">
        <v>1.4999999999999999E-2</v>
      </c>
      <c r="F78" s="152">
        <f>I83*0.015</f>
        <v>128377.54859641148</v>
      </c>
      <c r="H78" s="158">
        <v>922712.00399999984</v>
      </c>
    </row>
    <row r="79" spans="4:9" x14ac:dyDescent="0.25">
      <c r="D79" t="s">
        <v>1709</v>
      </c>
      <c r="E79" s="139">
        <f>F48</f>
        <v>24000</v>
      </c>
      <c r="H79" s="139">
        <v>4163.8320000000003</v>
      </c>
    </row>
    <row r="80" spans="4:9" x14ac:dyDescent="0.25">
      <c r="D80" t="s">
        <v>1708</v>
      </c>
      <c r="E80" s="158">
        <f>G72</f>
        <v>48653.19999999999</v>
      </c>
      <c r="H80" s="139">
        <v>24000</v>
      </c>
    </row>
    <row r="81" spans="4:9" x14ac:dyDescent="0.25">
      <c r="E81" s="152">
        <f>E76+E77+F78+E79+E80</f>
        <v>1127906.5845964113</v>
      </c>
      <c r="H81" s="158">
        <v>48653.19999999999</v>
      </c>
    </row>
    <row r="82" spans="4:9" x14ac:dyDescent="0.25">
      <c r="E82" s="152"/>
      <c r="H82" s="139">
        <v>7430596.6551643535</v>
      </c>
    </row>
    <row r="83" spans="4:9" x14ac:dyDescent="0.25">
      <c r="D83" s="250" t="s">
        <v>1722</v>
      </c>
      <c r="E83" s="250"/>
      <c r="H83" s="158">
        <f>SUM(H78:H82)</f>
        <v>8430125.6911643539</v>
      </c>
      <c r="I83" s="158">
        <f>H83/0.985</f>
        <v>8558503.2397607658</v>
      </c>
    </row>
    <row r="84" spans="4:9" x14ac:dyDescent="0.25">
      <c r="E84" s="152">
        <f>E81+'Planilha Orçamentária'!G160</f>
        <v>9533642.9682489969</v>
      </c>
      <c r="H84" s="139"/>
      <c r="I84" s="158"/>
    </row>
    <row r="85" spans="4:9" x14ac:dyDescent="0.25">
      <c r="H85" s="139"/>
      <c r="I85" s="139"/>
    </row>
    <row r="86" spans="4:9" x14ac:dyDescent="0.25">
      <c r="D86" s="250" t="s">
        <v>1712</v>
      </c>
      <c r="E86" s="250"/>
      <c r="I86" s="139"/>
    </row>
    <row r="87" spans="4:9" x14ac:dyDescent="0.25">
      <c r="E87" s="156">
        <v>5.0000000000000001E-3</v>
      </c>
    </row>
    <row r="88" spans="4:9" x14ac:dyDescent="0.25">
      <c r="E88" s="152">
        <f>E84*(0.5/100)</f>
        <v>47668.214841244982</v>
      </c>
      <c r="H88" s="139"/>
    </row>
    <row r="89" spans="4:9" x14ac:dyDescent="0.25">
      <c r="H89" s="139"/>
      <c r="I89" s="139"/>
    </row>
    <row r="90" spans="4:9" x14ac:dyDescent="0.25">
      <c r="D90" s="250" t="s">
        <v>1713</v>
      </c>
      <c r="E90" s="250"/>
    </row>
    <row r="91" spans="4:9" x14ac:dyDescent="0.25">
      <c r="E91" s="163">
        <v>9.5000000000000001E-2</v>
      </c>
    </row>
    <row r="92" spans="4:9" x14ac:dyDescent="0.25">
      <c r="D92" t="s">
        <v>1725</v>
      </c>
      <c r="E92" s="152">
        <f>E97*E91</f>
        <v>1096656.099269365</v>
      </c>
    </row>
    <row r="93" spans="4:9" x14ac:dyDescent="0.25">
      <c r="D93" s="250" t="s">
        <v>1714</v>
      </c>
      <c r="E93" s="250"/>
    </row>
    <row r="94" spans="4:9" x14ac:dyDescent="0.25">
      <c r="E94" s="163">
        <v>7.4999999999999997E-2</v>
      </c>
    </row>
    <row r="95" spans="4:9" x14ac:dyDescent="0.25">
      <c r="E95" s="139">
        <f>E97*E94</f>
        <v>865781.1310021301</v>
      </c>
    </row>
    <row r="96" spans="4:9" x14ac:dyDescent="0.25">
      <c r="D96" s="250" t="s">
        <v>1723</v>
      </c>
      <c r="E96" s="250"/>
      <c r="I96" s="117"/>
    </row>
    <row r="97" spans="4:9" x14ac:dyDescent="0.25">
      <c r="D97" t="s">
        <v>1724</v>
      </c>
      <c r="E97" s="152">
        <f>(E84+E88)/(1-(E91+E94))</f>
        <v>11543748.413361736</v>
      </c>
      <c r="I97" s="139"/>
    </row>
    <row r="99" spans="4:9" x14ac:dyDescent="0.25">
      <c r="D99" s="250" t="s">
        <v>1715</v>
      </c>
      <c r="E99" s="250"/>
    </row>
    <row r="100" spans="4:9" x14ac:dyDescent="0.25">
      <c r="E100" s="160">
        <f>('Custos Indiretos, PV e BDI'!E97/'Planilha Orçamentária'!G160)-1</f>
        <v>0.37331792082035009</v>
      </c>
    </row>
  </sheetData>
  <mergeCells count="11">
    <mergeCell ref="D83:E83"/>
    <mergeCell ref="D6:H6"/>
    <mergeCell ref="D32:G32"/>
    <mergeCell ref="D46:E46"/>
    <mergeCell ref="D51:H51"/>
    <mergeCell ref="D75:E75"/>
    <mergeCell ref="D99:E99"/>
    <mergeCell ref="D86:E86"/>
    <mergeCell ref="D90:E90"/>
    <mergeCell ref="D93:E93"/>
    <mergeCell ref="D96:E96"/>
  </mergeCells>
  <hyperlinks>
    <hyperlink ref="I53" r:id="rId1" xr:uid="{00000000-0004-0000-0500-000000000000}"/>
  </hyperlink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8:E9"/>
  <sheetViews>
    <sheetView topLeftCell="A13" workbookViewId="0">
      <selection activeCell="C6" sqref="C6"/>
    </sheetView>
  </sheetViews>
  <sheetFormatPr defaultColWidth="11.42578125" defaultRowHeight="15" x14ac:dyDescent="0.25"/>
  <cols>
    <col min="4" max="4" width="20.28515625" customWidth="1"/>
  </cols>
  <sheetData>
    <row r="8" spans="3:5" x14ac:dyDescent="0.25">
      <c r="D8" s="37" t="s">
        <v>976</v>
      </c>
      <c r="E8" t="s">
        <v>975</v>
      </c>
    </row>
    <row r="9" spans="3:5" ht="75" x14ac:dyDescent="0.25">
      <c r="C9" s="37" t="s">
        <v>974</v>
      </c>
      <c r="D9">
        <v>154.47999999999999</v>
      </c>
      <c r="E9">
        <v>118.66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2</vt:i4>
      </vt:variant>
    </vt:vector>
  </HeadingPairs>
  <TitlesOfParts>
    <vt:vector size="8" baseType="lpstr">
      <vt:lpstr>Planilha Orçamentária</vt:lpstr>
      <vt:lpstr>Composição de Custos</vt:lpstr>
      <vt:lpstr>Composição de Custos (SINAPI)</vt:lpstr>
      <vt:lpstr>Memorial de Calculo</vt:lpstr>
      <vt:lpstr>Custos Indiretos, PV e BDI</vt:lpstr>
      <vt:lpstr>Cotação de Preços</vt:lpstr>
      <vt:lpstr>'Planilha Orçamentária'!Area_de_impressao</vt:lpstr>
      <vt:lpstr>'Planilha Orçamentária'!Titulos_de_impressao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Dayana Costa</dc:creator>
  <cp:lastModifiedBy>Micro</cp:lastModifiedBy>
  <cp:lastPrinted>2017-10-23T14:38:21Z</cp:lastPrinted>
  <dcterms:created xsi:type="dcterms:W3CDTF">2010-08-21T14:28:55Z</dcterms:created>
  <dcterms:modified xsi:type="dcterms:W3CDTF">2023-05-31T19:45:22Z</dcterms:modified>
</cp:coreProperties>
</file>